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380" yWindow="1935" windowWidth="15480" windowHeight="5910" tabRatio="762" firstSheet="4" activeTab="4"/>
  </bookViews>
  <sheets>
    <sheet name="Avoided Cost Data" sheetId="39" state="hidden" r:id="rId1"/>
    <sheet name="Avoided Energy &amp; Capacity Costs" sheetId="43" state="hidden" r:id="rId2"/>
    <sheet name="Data Summary" sheetId="28" state="hidden" r:id="rId3"/>
    <sheet name="NPV" sheetId="94" state="hidden" r:id="rId4"/>
    <sheet name="Master List of Findings" sheetId="88" r:id="rId5"/>
    <sheet name="Form 5" sheetId="69" state="hidden" r:id="rId6"/>
    <sheet name="Rev Log" sheetId="64" state="hidden" r:id="rId7"/>
  </sheets>
  <definedNames>
    <definedName name="_xlnm._FilterDatabase" localSheetId="5" hidden="1">'Form 5'!#REF!</definedName>
    <definedName name="admin_cost_pkw">'Data Summary'!$D$58</definedName>
    <definedName name="ann_ecost_savings">'Data Summary'!$D$26</definedName>
    <definedName name="ann_nonecost_savings">'Data Summary'!$D$30</definedName>
    <definedName name="ann_totcost_savings">'Data Summary'!$D$31</definedName>
    <definedName name="avg_measure_life">#REF!</definedName>
    <definedName name="BDM_name">#REF!</definedName>
    <definedName name="budget">'Data Summary'!$D$48</definedName>
    <definedName name="contractor_is_payee">#REF!</definedName>
    <definedName name="csys_CPD_sav_kw">'Data Summary'!$D$35</definedName>
    <definedName name="current_yr">'Data Summary'!$D$21</definedName>
    <definedName name="cust_NCPD_sav_kw">'Data Summary'!$D$29</definedName>
    <definedName name="cust_or_facility">#REF!</definedName>
    <definedName name="cust_sav_kwh">'Data Summary'!$D$28</definedName>
    <definedName name="custom_track">#REF!</definedName>
    <definedName name="custom_track_list">'Data Summary'!$A$123:$A$126</definedName>
    <definedName name="customer_address">#REF!</definedName>
    <definedName name="customer_city">#REF!</definedName>
    <definedName name="customer_contact_name">#REF!</definedName>
    <definedName name="customer_contact_title">#REF!</definedName>
    <definedName name="customer_email">#REF!</definedName>
    <definedName name="customer_fax">#REF!</definedName>
    <definedName name="customer_name">'Data Summary'!$D$13</definedName>
    <definedName name="customer_phone">#REF!</definedName>
    <definedName name="customer_phone_secondary">#REF!</definedName>
    <definedName name="customer_postalcode">#REF!</definedName>
    <definedName name="customer_province">#REF!</definedName>
    <definedName name="customer_rsp">#REF!</definedName>
    <definedName name="DB_proj_ID">'Data Summary'!$D$16</definedName>
    <definedName name="DB_proj_owner">'Data Summary'!$D$18</definedName>
    <definedName name="demand_charge">#REF!</definedName>
    <definedName name="demand_unit">#REF!</definedName>
    <definedName name="disc_rate_cap">'Data Summary'!$D$54</definedName>
    <definedName name="disc_rate_ene">'Data Summary'!$D$53</definedName>
    <definedName name="DSMDS_new_measure_categories">'Data Summary'!$B$131:$B$142</definedName>
    <definedName name="DSMDS_old_measures">'Data Summary'!$A$131:$A$142</definedName>
    <definedName name="embedded_cost">#REF!</definedName>
    <definedName name="energy_charge">#REF!</definedName>
    <definedName name="Eng_Cost">#REF!</definedName>
    <definedName name="ENSC_proj_num">#REF!</definedName>
    <definedName name="Equip_Cost">#REF!</definedName>
    <definedName name="facility_address">#REF!</definedName>
    <definedName name="facility_city">#REF!</definedName>
    <definedName name="facility_contact_email">#REF!</definedName>
    <definedName name="facility_contact_fax">#REF!</definedName>
    <definedName name="facility_contact_name">#REF!</definedName>
    <definedName name="facility_contact_phone">#REF!</definedName>
    <definedName name="facility_contact_title">#REF!</definedName>
    <definedName name="facility_name">#REF!</definedName>
    <definedName name="facility_postalcode">#REF!</definedName>
    <definedName name="facility_province">#REF!</definedName>
    <definedName name="financing_amount_approved">#REF!</definedName>
    <definedName name="financing_rate">'Data Summary'!$D$52</definedName>
    <definedName name="financing_term_approved">#REF!</definedName>
    <definedName name="FS_incentive">#REF!</definedName>
    <definedName name="FSDS">'Master List of Findings'!#REF!</definedName>
    <definedName name="FSS">'Master List of Findings'!#REF!</definedName>
    <definedName name="hst">'Data Summary'!$D$57</definedName>
    <definedName name="HST_Cost">#REF!</definedName>
    <definedName name="IMP_incentive">#REF!</definedName>
    <definedName name="incentive_budget">'Data Summary'!$D$50</definedName>
    <definedName name="incentive_budget_ratio">'Data Summary'!$D$49</definedName>
    <definedName name="incentives_other">#REF!</definedName>
    <definedName name="include_hst">'Data Summary'!$D$25</definedName>
    <definedName name="infl_rate">'Data Summary'!$D$55</definedName>
    <definedName name="install_mo">'Data Summary'!$D$24</definedName>
    <definedName name="install_yr">'Data Summary'!$D$23</definedName>
    <definedName name="install_yrs">'Avoided Cost Data'!$E$11:$AJ$11</definedName>
    <definedName name="Labour_Cost">#REF!</definedName>
    <definedName name="life_sav_mwh">'Data Summary'!$D$32</definedName>
    <definedName name="loss_factor">#REF!</definedName>
    <definedName name="Measure_Cost">#REF!</definedName>
    <definedName name="measure_life_yrs">'Avoided Cost Data'!$D$17:$D$48</definedName>
    <definedName name="NPV">NPV!$B$8</definedName>
    <definedName name="NSPI_acct_number">'Data Summary'!$D$14</definedName>
    <definedName name="NSPI_fin_amt">#REF!</definedName>
    <definedName name="NSPI_fin_cost">#REF!</definedName>
    <definedName name="NSPI_fin_length">#REF!</definedName>
    <definedName name="NSPI_fs_incentive">#REF!</definedName>
    <definedName name="NSPI_imp_incentive">'Data Summary'!$D$38</definedName>
    <definedName name="NSPI_ss_incentive">#REF!</definedName>
    <definedName name="OLE_LINK1" localSheetId="4">'Master List of Findings'!#REF!</definedName>
    <definedName name="Other_Cost">#REF!</definedName>
    <definedName name="payb_w_incent">'Data Summary'!$D$45</definedName>
    <definedName name="payb_wo_incent">'Data Summary'!$D$44</definedName>
    <definedName name="pct_mv_cost">'Data Summary'!$D$56</definedName>
    <definedName name="PDA">'Master List of Findings'!$B$34</definedName>
    <definedName name="peng_address">#REF!</definedName>
    <definedName name="peng_city">#REF!</definedName>
    <definedName name="peng_email">#REF!</definedName>
    <definedName name="peng_employer">#REF!</definedName>
    <definedName name="peng_fax">#REF!</definedName>
    <definedName name="peng_name">#REF!</definedName>
    <definedName name="peng_phone">#REF!</definedName>
    <definedName name="peng_phone_secondary">#REF!</definedName>
    <definedName name="peng_postalcode">#REF!</definedName>
    <definedName name="peng_province">#REF!</definedName>
    <definedName name="peng_title">#REF!</definedName>
    <definedName name="pm_email">#REF!</definedName>
    <definedName name="pm_name">'Data Summary'!$A$103:$A$112</definedName>
    <definedName name="pm_phone">#REF!</definedName>
    <definedName name="pm_title">#REF!</definedName>
    <definedName name="prep_by">'Data Summary'!$D$19</definedName>
    <definedName name="prep_date">'Data Summary'!$D$20</definedName>
    <definedName name="present_values">'Avoided Cost Data'!$E$17:$AJ$48</definedName>
    <definedName name="_xlnm.Print_Area" localSheetId="0">'Avoided Cost Data'!$A$9:$AB$59</definedName>
    <definedName name="_xlnm.Print_Area" localSheetId="2">'Data Summary'!$A$1:$N$58</definedName>
    <definedName name="_xlnm.Print_Area" localSheetId="5">'Form 5'!$A$1:$L$114</definedName>
    <definedName name="_xlnm.Print_Area" localSheetId="4">'Master List of Findings'!$A$1:$O$70</definedName>
    <definedName name="program_name">#REF!</definedName>
    <definedName name="proj_mgr_info">'Data Summary'!$A$103:$E$118</definedName>
    <definedName name="proj_mgr_name">'Data Summary'!$A$103:$A$113</definedName>
    <definedName name="project_cost">'Data Summary'!$D$27</definedName>
    <definedName name="project_end_date">#REF!</definedName>
    <definedName name="project_name">'Data Summary'!$D$15</definedName>
    <definedName name="project_num">'Data Summary'!$D$17</definedName>
    <definedName name="project_start_date">#REF!</definedName>
    <definedName name="rate_class">#REF!</definedName>
    <definedName name="reason_for_funding">#REF!</definedName>
    <definedName name="SS_incentive">#REF!</definedName>
    <definedName name="sys_CPD_sav_kw">'Data Summary'!$D$34</definedName>
    <definedName name="sys_sav_kwh">'Data Summary'!$D$33</definedName>
    <definedName name="target_kw">'Data Summary'!$D$47</definedName>
    <definedName name="target_kwh">'Data Summary'!$D$46</definedName>
    <definedName name="ToC">'Master List of Findings'!#REF!</definedName>
    <definedName name="tot_npvb">'Data Summary'!$D$36</definedName>
    <definedName name="total_incentive">SUM(#REF!)+IF(#REF!&gt;0,#REF!, 0)</definedName>
    <definedName name="trc">'Data Summary'!$D$37</definedName>
    <definedName name="version">'Data Summary'!$D$10</definedName>
    <definedName name="workflow_names">'Data Summary'!$A$147:$A$164</definedName>
    <definedName name="workflow_table">'Data Summary'!$A$147:$C$164</definedName>
    <definedName name="yr_end">'Data Summary'!$D$51</definedName>
  </definedNames>
  <calcPr calcId="144525"/>
</workbook>
</file>

<file path=xl/calcChain.xml><?xml version="1.0" encoding="utf-8"?>
<calcChain xmlns="http://schemas.openxmlformats.org/spreadsheetml/2006/main">
  <c r="M43" i="88" l="1"/>
  <c r="M44" i="88"/>
  <c r="M45" i="88"/>
  <c r="M46" i="88"/>
  <c r="M47" i="88"/>
  <c r="M55" i="88"/>
  <c r="M56" i="88"/>
  <c r="B31" i="64"/>
  <c r="D21" i="28"/>
  <c r="B46" i="28" s="1"/>
  <c r="D14" i="28"/>
  <c r="A13" i="69"/>
  <c r="A17" i="69"/>
  <c r="D13" i="28"/>
  <c r="A15" i="69"/>
  <c r="B30" i="64"/>
  <c r="B32" i="64"/>
  <c r="D41" i="28"/>
  <c r="I36" i="69"/>
  <c r="D22" i="28"/>
  <c r="D16" i="28"/>
  <c r="F18" i="69"/>
  <c r="F16" i="69"/>
  <c r="A31" i="69"/>
  <c r="F11" i="69"/>
  <c r="D15" i="28"/>
  <c r="D18" i="28"/>
  <c r="B4" i="94"/>
  <c r="B5" i="94"/>
  <c r="D20" i="28"/>
  <c r="B17" i="39"/>
  <c r="C17" i="39"/>
  <c r="G17" i="39"/>
  <c r="H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B18" i="39"/>
  <c r="C18" i="39"/>
  <c r="K27" i="39"/>
  <c r="L27" i="39"/>
  <c r="B19" i="39"/>
  <c r="C19" i="39"/>
  <c r="B20" i="39"/>
  <c r="C20" i="39"/>
  <c r="B21" i="39"/>
  <c r="C21" i="39"/>
  <c r="B22" i="39"/>
  <c r="C22" i="39"/>
  <c r="B23" i="39"/>
  <c r="C23" i="39"/>
  <c r="B24" i="39"/>
  <c r="C24" i="39"/>
  <c r="B25" i="39"/>
  <c r="C25" i="39"/>
  <c r="B26" i="39"/>
  <c r="C26" i="39"/>
  <c r="B27" i="39"/>
  <c r="C27" i="39"/>
  <c r="B28" i="39"/>
  <c r="C28" i="39"/>
  <c r="B29" i="39"/>
  <c r="C29" i="39"/>
  <c r="B30" i="39"/>
  <c r="C30" i="39"/>
  <c r="B31" i="39"/>
  <c r="C31" i="39"/>
  <c r="B32" i="39"/>
  <c r="C32" i="39"/>
  <c r="B33" i="39"/>
  <c r="C33" i="39"/>
  <c r="B34" i="39"/>
  <c r="C34" i="39"/>
  <c r="B35" i="39"/>
  <c r="C35" i="39"/>
  <c r="B36" i="39"/>
  <c r="C36" i="39"/>
  <c r="B37" i="39"/>
  <c r="C37" i="39"/>
  <c r="B38" i="39"/>
  <c r="C38" i="39"/>
  <c r="B39" i="39"/>
  <c r="B40" i="39"/>
  <c r="B41" i="39"/>
  <c r="C39" i="39"/>
  <c r="C16" i="43"/>
  <c r="C17" i="43"/>
  <c r="C18" i="43"/>
  <c r="L3" i="69"/>
  <c r="D25" i="28"/>
  <c r="D50" i="28"/>
  <c r="A68" i="28"/>
  <c r="F68" i="28"/>
  <c r="K68" i="28"/>
  <c r="A69" i="28"/>
  <c r="D69" i="28"/>
  <c r="F69" i="28"/>
  <c r="I69" i="28"/>
  <c r="K69" i="28"/>
  <c r="N69" i="28"/>
  <c r="A70" i="28"/>
  <c r="D70" i="28"/>
  <c r="F70" i="28"/>
  <c r="I70" i="28"/>
  <c r="K70" i="28"/>
  <c r="N70" i="28"/>
  <c r="A71" i="28"/>
  <c r="D71" i="28"/>
  <c r="F71" i="28"/>
  <c r="I71" i="28"/>
  <c r="K71" i="28"/>
  <c r="N71" i="28"/>
  <c r="A72" i="28"/>
  <c r="D72" i="28"/>
  <c r="F72" i="28"/>
  <c r="I72" i="28"/>
  <c r="K72" i="28"/>
  <c r="N72" i="28"/>
  <c r="A73" i="28"/>
  <c r="D73" i="28"/>
  <c r="F73" i="28"/>
  <c r="I73" i="28"/>
  <c r="K73" i="28"/>
  <c r="N73" i="28"/>
  <c r="A74" i="28"/>
  <c r="D74" i="28"/>
  <c r="F74" i="28"/>
  <c r="I74" i="28"/>
  <c r="K74" i="28"/>
  <c r="N74" i="28"/>
  <c r="A75" i="28"/>
  <c r="D75" i="28"/>
  <c r="F75" i="28"/>
  <c r="I75" i="28"/>
  <c r="K75" i="28"/>
  <c r="N75" i="28"/>
  <c r="A76" i="28"/>
  <c r="D76" i="28"/>
  <c r="F76" i="28"/>
  <c r="I76" i="28"/>
  <c r="K76" i="28"/>
  <c r="N76" i="28"/>
  <c r="A77" i="28"/>
  <c r="D77" i="28"/>
  <c r="F77" i="28"/>
  <c r="I77" i="28"/>
  <c r="K77" i="28"/>
  <c r="N77" i="28"/>
  <c r="A78" i="28"/>
  <c r="D78" i="28"/>
  <c r="F78" i="28"/>
  <c r="I78" i="28"/>
  <c r="K78" i="28"/>
  <c r="N78" i="28"/>
  <c r="A79" i="28"/>
  <c r="D79" i="28"/>
  <c r="F79" i="28"/>
  <c r="I79" i="28"/>
  <c r="K79" i="28"/>
  <c r="N79" i="28"/>
  <c r="A80" i="28"/>
  <c r="D80" i="28"/>
  <c r="F80" i="28"/>
  <c r="I80" i="28"/>
  <c r="K80" i="28"/>
  <c r="N80" i="28"/>
  <c r="A81" i="28"/>
  <c r="D81" i="28"/>
  <c r="F81" i="28"/>
  <c r="I81" i="28"/>
  <c r="K81" i="28"/>
  <c r="N81" i="28"/>
  <c r="A82" i="28"/>
  <c r="D82" i="28"/>
  <c r="F82" i="28"/>
  <c r="I82" i="28"/>
  <c r="K82" i="28"/>
  <c r="N82" i="28"/>
  <c r="A83" i="28"/>
  <c r="D83" i="28"/>
  <c r="F83" i="28"/>
  <c r="I83" i="28"/>
  <c r="K83" i="28"/>
  <c r="N83" i="28"/>
  <c r="B88" i="28"/>
  <c r="E88" i="28"/>
  <c r="B91" i="28"/>
  <c r="E91" i="28"/>
  <c r="B94" i="28"/>
  <c r="E94" i="28"/>
  <c r="B97" i="28"/>
  <c r="E97" i="28"/>
  <c r="B40" i="43"/>
  <c r="D40" i="43"/>
  <c r="E15" i="43"/>
  <c r="E16" i="43"/>
  <c r="E17" i="39"/>
  <c r="F17" i="39"/>
  <c r="W17" i="39"/>
  <c r="X17" i="39"/>
  <c r="AE24" i="39"/>
  <c r="AF24" i="39"/>
  <c r="AI18" i="39"/>
  <c r="AJ18" i="39"/>
  <c r="AI17" i="39"/>
  <c r="AJ17" i="39"/>
  <c r="AG30" i="39"/>
  <c r="AH30" i="39"/>
  <c r="F12" i="69"/>
  <c r="F13" i="69"/>
  <c r="AA28" i="39"/>
  <c r="AB28" i="39"/>
  <c r="AA24" i="39"/>
  <c r="AB24" i="39"/>
  <c r="AG29" i="39"/>
  <c r="AH29" i="39"/>
  <c r="Q17" i="39"/>
  <c r="R17" i="39"/>
  <c r="AI27" i="39"/>
  <c r="AJ27" i="39"/>
  <c r="S32" i="39"/>
  <c r="T32" i="39"/>
  <c r="O29" i="39"/>
  <c r="P29" i="39"/>
  <c r="O31" i="39"/>
  <c r="P31" i="39"/>
  <c r="M18" i="39"/>
  <c r="N18" i="39"/>
  <c r="AE22" i="39"/>
  <c r="AF22" i="39"/>
  <c r="AE23" i="39"/>
  <c r="AF23" i="39"/>
  <c r="O27" i="39"/>
  <c r="P27" i="39"/>
  <c r="S36" i="39"/>
  <c r="T36" i="39"/>
  <c r="S29" i="39"/>
  <c r="T29" i="39"/>
  <c r="O18" i="39"/>
  <c r="P18" i="39"/>
  <c r="O34" i="39"/>
  <c r="P34" i="39"/>
  <c r="S28" i="39"/>
  <c r="T28" i="39"/>
  <c r="AI31" i="39"/>
  <c r="AJ31" i="39"/>
  <c r="AI25" i="39"/>
  <c r="AJ25" i="39"/>
  <c r="AI21" i="39"/>
  <c r="AJ21" i="39"/>
  <c r="AI26" i="39"/>
  <c r="AJ26" i="39"/>
  <c r="AI24" i="39"/>
  <c r="AJ24" i="39"/>
  <c r="AI19" i="39"/>
  <c r="AJ19" i="39"/>
  <c r="AG33" i="39"/>
  <c r="AH33" i="39"/>
  <c r="AG24" i="39"/>
  <c r="AH24" i="39"/>
  <c r="AG21" i="39"/>
  <c r="AH21" i="39"/>
  <c r="O33" i="39"/>
  <c r="P33" i="39"/>
  <c r="O30" i="39"/>
  <c r="P30" i="39"/>
  <c r="O20" i="39"/>
  <c r="P20" i="39"/>
  <c r="S23" i="39"/>
  <c r="T23" i="39"/>
  <c r="S19" i="39"/>
  <c r="T19" i="39"/>
  <c r="O24" i="39"/>
  <c r="P24" i="39"/>
  <c r="S24" i="39"/>
  <c r="T24" i="39"/>
  <c r="O22" i="39"/>
  <c r="P22" i="39"/>
  <c r="O36" i="39"/>
  <c r="P36" i="39"/>
  <c r="O32" i="39"/>
  <c r="P32" i="39"/>
  <c r="S21" i="39"/>
  <c r="T21" i="39"/>
  <c r="O37" i="39"/>
  <c r="P37" i="39"/>
  <c r="S20" i="39"/>
  <c r="T20" i="39"/>
  <c r="S34" i="39"/>
  <c r="T34" i="39"/>
  <c r="S27" i="39"/>
  <c r="T27" i="39"/>
  <c r="S33" i="39"/>
  <c r="T33" i="39"/>
  <c r="S17" i="39"/>
  <c r="T17" i="39"/>
  <c r="O28" i="39"/>
  <c r="P28" i="39"/>
  <c r="D10" i="28"/>
  <c r="B29" i="64"/>
  <c r="AC29" i="39"/>
  <c r="AD29" i="39"/>
  <c r="AC18" i="39"/>
  <c r="AD18" i="39"/>
  <c r="M17" i="39"/>
  <c r="N17" i="39"/>
  <c r="AG32" i="39"/>
  <c r="AH32" i="39"/>
  <c r="S25" i="39"/>
  <c r="T25" i="39"/>
  <c r="S26" i="39"/>
  <c r="T26" i="39"/>
  <c r="S18" i="39"/>
  <c r="T18" i="39"/>
  <c r="O19" i="39"/>
  <c r="P19" i="39"/>
  <c r="S30" i="39"/>
  <c r="T30" i="39"/>
  <c r="AE19" i="39"/>
  <c r="AF19" i="39"/>
  <c r="AE27" i="39"/>
  <c r="AF27" i="39"/>
  <c r="AA29" i="39"/>
  <c r="AB29" i="39"/>
  <c r="AA19" i="39"/>
  <c r="AB19" i="39"/>
  <c r="AA18" i="39"/>
  <c r="AB18" i="39"/>
  <c r="AA31" i="39"/>
  <c r="AB31" i="39"/>
  <c r="AE32" i="39"/>
  <c r="AF32" i="39"/>
  <c r="AE25" i="39"/>
  <c r="AF25" i="39"/>
  <c r="AE31" i="39"/>
  <c r="AF31" i="39"/>
  <c r="AE21" i="39"/>
  <c r="AF21" i="39"/>
  <c r="AE18" i="39"/>
  <c r="AF18" i="39"/>
  <c r="AE30" i="39"/>
  <c r="AF30" i="39"/>
  <c r="AE20" i="39"/>
  <c r="AF20" i="39"/>
  <c r="AE33" i="39"/>
  <c r="AF33" i="39"/>
  <c r="W22" i="39"/>
  <c r="X22" i="39"/>
  <c r="W27" i="39"/>
  <c r="X27" i="39"/>
  <c r="W33" i="39"/>
  <c r="X33" i="39"/>
  <c r="W21" i="39"/>
  <c r="X21" i="39"/>
  <c r="W20" i="39"/>
  <c r="X20" i="39"/>
  <c r="W25" i="39"/>
  <c r="X25" i="39"/>
  <c r="W32" i="39"/>
  <c r="X32" i="39"/>
  <c r="W23" i="39"/>
  <c r="X23" i="39"/>
  <c r="W34" i="39"/>
  <c r="X34" i="39"/>
  <c r="W31" i="39"/>
  <c r="X31" i="39"/>
  <c r="W26" i="39"/>
  <c r="X26" i="39"/>
  <c r="G28" i="39"/>
  <c r="H28" i="39"/>
  <c r="K35" i="39"/>
  <c r="L35" i="39"/>
  <c r="G30" i="39"/>
  <c r="H30" i="39"/>
  <c r="Y17" i="39"/>
  <c r="Z17" i="39"/>
  <c r="Y34" i="39"/>
  <c r="Z34" i="39"/>
  <c r="Y31" i="39"/>
  <c r="Z31" i="39"/>
  <c r="Y33" i="39"/>
  <c r="Z33" i="39"/>
  <c r="Y20" i="39"/>
  <c r="Z20" i="39"/>
  <c r="Y30" i="39"/>
  <c r="Z30" i="39"/>
  <c r="Y35" i="39"/>
  <c r="Z35" i="39"/>
  <c r="Y27" i="39"/>
  <c r="Z27" i="39"/>
  <c r="Y22" i="39"/>
  <c r="Z22" i="39"/>
  <c r="Y19" i="39"/>
  <c r="Z19" i="39"/>
  <c r="Y23" i="39"/>
  <c r="Z23" i="39"/>
  <c r="Y21" i="39"/>
  <c r="Z21" i="39"/>
  <c r="Y25" i="39"/>
  <c r="Z25" i="39"/>
  <c r="Y18" i="39"/>
  <c r="Z18" i="39"/>
  <c r="U23" i="39"/>
  <c r="V23" i="39"/>
  <c r="I25" i="39"/>
  <c r="J25" i="39"/>
  <c r="U22" i="39"/>
  <c r="V22" i="39"/>
  <c r="Q38" i="39"/>
  <c r="R38" i="39"/>
  <c r="I27" i="39"/>
  <c r="J27" i="39"/>
  <c r="E25" i="39"/>
  <c r="F25" i="39"/>
  <c r="U32" i="39"/>
  <c r="V32" i="39"/>
  <c r="Q30" i="39"/>
  <c r="R30" i="39"/>
  <c r="G27" i="39"/>
  <c r="H27" i="39"/>
  <c r="Q20" i="39"/>
  <c r="R20" i="39"/>
  <c r="M27" i="39"/>
  <c r="N27" i="39"/>
  <c r="Y28" i="39"/>
  <c r="Z28" i="39"/>
  <c r="U21" i="39"/>
  <c r="V21" i="39"/>
  <c r="Y24" i="39"/>
  <c r="Z24" i="39"/>
  <c r="G23" i="39"/>
  <c r="H23" i="39"/>
  <c r="K23" i="39"/>
  <c r="L23" i="39"/>
  <c r="G21" i="39"/>
  <c r="H21" i="39"/>
  <c r="K32" i="39"/>
  <c r="L32" i="39"/>
  <c r="G37" i="39"/>
  <c r="H37" i="39"/>
  <c r="K36" i="39"/>
  <c r="L36" i="39"/>
  <c r="G22" i="39"/>
  <c r="H22" i="39"/>
  <c r="G34" i="39"/>
  <c r="H34" i="39"/>
  <c r="G39" i="39"/>
  <c r="H39" i="39"/>
  <c r="G24" i="39"/>
  <c r="H24" i="39"/>
  <c r="K37" i="39"/>
  <c r="L37" i="39"/>
  <c r="G20" i="39"/>
  <c r="H20" i="39"/>
  <c r="K17" i="39"/>
  <c r="L17" i="39"/>
  <c r="G33" i="39"/>
  <c r="H33" i="39"/>
  <c r="Q22" i="39"/>
  <c r="R22" i="39"/>
  <c r="K26" i="39"/>
  <c r="L26" i="39"/>
  <c r="U24" i="39"/>
  <c r="V24" i="39"/>
  <c r="AE28" i="39"/>
  <c r="AF28" i="39"/>
  <c r="AE29" i="39"/>
  <c r="AF29" i="39"/>
  <c r="AA26" i="39"/>
  <c r="AB26" i="39"/>
  <c r="AI29" i="39"/>
  <c r="AJ29" i="39"/>
  <c r="AI23" i="39"/>
  <c r="AJ23" i="39"/>
  <c r="AI20" i="39"/>
  <c r="AJ20" i="39"/>
  <c r="AI30" i="39"/>
  <c r="AJ30" i="39"/>
  <c r="AI28" i="39"/>
  <c r="AJ28" i="39"/>
  <c r="O21" i="39"/>
  <c r="P21" i="39"/>
  <c r="AE26" i="39"/>
  <c r="AF26" i="39"/>
  <c r="AE17" i="39"/>
  <c r="AF17" i="39"/>
  <c r="AA25" i="39"/>
  <c r="AB25" i="39"/>
  <c r="AA22" i="39"/>
  <c r="AB22" i="39"/>
  <c r="W30" i="39"/>
  <c r="X30" i="39"/>
  <c r="AA33" i="39"/>
  <c r="AB33" i="39"/>
  <c r="AA30" i="39"/>
  <c r="AB30" i="39"/>
  <c r="AA21" i="39"/>
  <c r="AB21" i="39"/>
  <c r="W28" i="39"/>
  <c r="X28" i="39"/>
  <c r="AA32" i="39"/>
  <c r="AB32" i="39"/>
  <c r="I39" i="69"/>
  <c r="A19" i="69"/>
  <c r="A28" i="69"/>
  <c r="D38" i="28"/>
  <c r="D40" i="28"/>
  <c r="F17" i="69"/>
  <c r="D17" i="28"/>
  <c r="D42" i="28"/>
  <c r="C19" i="43"/>
  <c r="C20" i="43"/>
  <c r="C21" i="43"/>
  <c r="C22" i="43"/>
  <c r="C23" i="43"/>
  <c r="C24" i="43"/>
  <c r="C25" i="43"/>
  <c r="C26" i="43"/>
  <c r="C27" i="43"/>
  <c r="C28" i="43"/>
  <c r="C29" i="43"/>
  <c r="C30" i="43"/>
  <c r="C31" i="43"/>
  <c r="C32" i="43"/>
  <c r="C33" i="43"/>
  <c r="C34" i="43"/>
  <c r="C35" i="43"/>
  <c r="C36" i="43"/>
  <c r="C37" i="43"/>
  <c r="B42" i="39"/>
  <c r="Y37" i="39"/>
  <c r="Z37" i="39"/>
  <c r="Y36" i="39"/>
  <c r="Z36" i="39"/>
  <c r="AG35" i="39"/>
  <c r="AH35" i="39"/>
  <c r="U26" i="39"/>
  <c r="V26" i="39"/>
  <c r="M36" i="39"/>
  <c r="N36" i="39"/>
  <c r="U28" i="39"/>
  <c r="V28" i="39"/>
  <c r="M19" i="39"/>
  <c r="N19" i="39"/>
  <c r="Q25" i="39"/>
  <c r="R25" i="39"/>
  <c r="U27" i="39"/>
  <c r="V27" i="39"/>
  <c r="U34" i="39"/>
  <c r="V34" i="39"/>
  <c r="U19" i="39"/>
  <c r="V19" i="39"/>
  <c r="M20" i="39"/>
  <c r="N20" i="39"/>
  <c r="M24" i="39"/>
  <c r="N24" i="39"/>
  <c r="Q32" i="39"/>
  <c r="R32" i="39"/>
  <c r="U29" i="39"/>
  <c r="V29" i="39"/>
  <c r="U31" i="39"/>
  <c r="V31" i="39"/>
  <c r="U20" i="39"/>
  <c r="V20" i="39"/>
  <c r="Q24" i="39"/>
  <c r="R24" i="39"/>
  <c r="M39" i="39"/>
  <c r="N39" i="39"/>
  <c r="M40" i="39"/>
  <c r="N40" i="39"/>
  <c r="U17" i="39"/>
  <c r="V17" i="39"/>
  <c r="M33" i="39"/>
  <c r="N33" i="39"/>
  <c r="U36" i="39"/>
  <c r="V36" i="39"/>
  <c r="U37" i="39"/>
  <c r="V37" i="39"/>
  <c r="M23" i="39"/>
  <c r="N23" i="39"/>
  <c r="M31" i="39"/>
  <c r="N31" i="39"/>
  <c r="M38" i="39"/>
  <c r="N38" i="39"/>
  <c r="M30" i="39"/>
  <c r="N30" i="39"/>
  <c r="Q19" i="39"/>
  <c r="R19" i="39"/>
  <c r="Q29" i="39"/>
  <c r="R29" i="39"/>
  <c r="M32" i="39"/>
  <c r="N32" i="39"/>
  <c r="M28" i="39"/>
  <c r="N28" i="39"/>
  <c r="M34" i="39"/>
  <c r="N34" i="39"/>
  <c r="M21" i="39"/>
  <c r="N21" i="39"/>
  <c r="U18" i="39"/>
  <c r="V18" i="39"/>
  <c r="Q34" i="39"/>
  <c r="R34" i="39"/>
  <c r="Q33" i="39"/>
  <c r="R33" i="39"/>
  <c r="M29" i="39"/>
  <c r="N29" i="39"/>
  <c r="Q37" i="39"/>
  <c r="R37" i="39"/>
  <c r="U38" i="39"/>
  <c r="V38" i="39"/>
  <c r="Q36" i="39"/>
  <c r="R36" i="39"/>
  <c r="Q35" i="39"/>
  <c r="R35" i="39"/>
  <c r="M25" i="39"/>
  <c r="N25" i="39"/>
  <c r="Q23" i="39"/>
  <c r="R23" i="39"/>
  <c r="Q31" i="39"/>
  <c r="R31" i="39"/>
  <c r="M35" i="39"/>
  <c r="N35" i="39"/>
  <c r="M26" i="39"/>
  <c r="N26" i="39"/>
  <c r="Q18" i="39"/>
  <c r="R18" i="39"/>
  <c r="Q39" i="39"/>
  <c r="R39" i="39"/>
  <c r="Q26" i="39"/>
  <c r="R26" i="39"/>
  <c r="M37" i="39"/>
  <c r="N37" i="39"/>
  <c r="M22" i="39"/>
  <c r="N22" i="39"/>
  <c r="Q21" i="39"/>
  <c r="R21" i="39"/>
  <c r="U30" i="39"/>
  <c r="V30" i="39"/>
  <c r="U33" i="39"/>
  <c r="V33" i="39"/>
  <c r="U25" i="39"/>
  <c r="V25" i="39"/>
  <c r="Q27" i="39"/>
  <c r="R27" i="39"/>
  <c r="Q28" i="39"/>
  <c r="R28" i="39"/>
  <c r="U35" i="39"/>
  <c r="V35" i="39"/>
  <c r="E19" i="39"/>
  <c r="F19" i="39"/>
  <c r="E18" i="39"/>
  <c r="F18" i="39"/>
  <c r="I31" i="39"/>
  <c r="J31" i="39"/>
  <c r="I18" i="39"/>
  <c r="J18" i="39"/>
  <c r="E31" i="39"/>
  <c r="F31" i="39"/>
  <c r="I19" i="39"/>
  <c r="J19" i="39"/>
  <c r="E39" i="39"/>
  <c r="F39" i="39"/>
  <c r="E20" i="39"/>
  <c r="F20" i="39"/>
  <c r="I30" i="39"/>
  <c r="J30" i="39"/>
  <c r="I41" i="39"/>
  <c r="J41" i="39"/>
  <c r="I34" i="39"/>
  <c r="J34" i="39"/>
  <c r="I28" i="39"/>
  <c r="J28" i="39"/>
  <c r="I32" i="39"/>
  <c r="J32" i="39"/>
  <c r="E37" i="39"/>
  <c r="F37" i="39"/>
  <c r="E38" i="39"/>
  <c r="F38" i="39"/>
  <c r="I21" i="39"/>
  <c r="J21" i="39"/>
  <c r="E35" i="39"/>
  <c r="F35" i="39"/>
  <c r="E40" i="39"/>
  <c r="F40" i="39"/>
  <c r="I40" i="39"/>
  <c r="J40" i="39"/>
  <c r="E28" i="39"/>
  <c r="F28" i="39"/>
  <c r="E23" i="39"/>
  <c r="F23" i="39"/>
  <c r="I26" i="39"/>
  <c r="J26" i="39"/>
  <c r="I23" i="39"/>
  <c r="J23" i="39"/>
  <c r="E24" i="39"/>
  <c r="F24" i="39"/>
  <c r="I29" i="39"/>
  <c r="J29" i="39"/>
  <c r="I36" i="39"/>
  <c r="J36" i="39"/>
  <c r="I39" i="39"/>
  <c r="J39" i="39"/>
  <c r="I35" i="39"/>
  <c r="J35" i="39"/>
  <c r="E22" i="39"/>
  <c r="F22" i="39"/>
  <c r="E21" i="39"/>
  <c r="F21" i="39"/>
  <c r="E26" i="39"/>
  <c r="F26" i="39"/>
  <c r="I33" i="39"/>
  <c r="J33" i="39"/>
  <c r="I22" i="39"/>
  <c r="J22" i="39"/>
  <c r="E30" i="39"/>
  <c r="F30" i="39"/>
  <c r="E36" i="39"/>
  <c r="F36" i="39"/>
  <c r="I37" i="39"/>
  <c r="J37" i="39"/>
  <c r="E27" i="39"/>
  <c r="F27" i="39"/>
  <c r="E33" i="39"/>
  <c r="F33" i="39"/>
  <c r="E29" i="39"/>
  <c r="F29" i="39"/>
  <c r="E42" i="39"/>
  <c r="F42" i="39"/>
  <c r="I24" i="39"/>
  <c r="J24" i="39"/>
  <c r="I38" i="39"/>
  <c r="J38" i="39"/>
  <c r="E34" i="39"/>
  <c r="F34" i="39"/>
  <c r="I20" i="39"/>
  <c r="J20" i="39"/>
  <c r="I17" i="39"/>
  <c r="J17" i="39"/>
  <c r="E41" i="39"/>
  <c r="F41" i="39"/>
  <c r="E32" i="39"/>
  <c r="F32" i="39"/>
  <c r="AG34" i="39"/>
  <c r="AH34" i="39"/>
  <c r="AG18" i="39"/>
  <c r="AH18" i="39"/>
  <c r="AG31" i="39"/>
  <c r="AH31" i="39"/>
  <c r="AG17" i="39"/>
  <c r="AH17" i="39"/>
  <c r="AG19" i="39"/>
  <c r="AH19" i="39"/>
  <c r="AG23" i="39"/>
  <c r="AH23" i="39"/>
  <c r="AG28" i="39"/>
  <c r="AH28" i="39"/>
  <c r="AG22" i="39"/>
  <c r="AH22" i="39"/>
  <c r="AG26" i="39"/>
  <c r="AH26" i="39"/>
  <c r="AG27" i="39"/>
  <c r="AH27" i="39"/>
  <c r="AG20" i="39"/>
  <c r="AH20" i="39"/>
  <c r="AG25" i="39"/>
  <c r="AH25" i="39"/>
  <c r="AC23" i="39"/>
  <c r="AD23" i="39"/>
  <c r="AC28" i="39"/>
  <c r="AD28" i="39"/>
  <c r="AC32" i="39"/>
  <c r="AD32" i="39"/>
  <c r="AC25" i="39"/>
  <c r="AD25" i="39"/>
  <c r="AC36" i="39"/>
  <c r="AD36" i="39"/>
  <c r="AC31" i="39"/>
  <c r="AD31" i="39"/>
  <c r="AC24" i="39"/>
  <c r="AD24" i="39"/>
  <c r="AC33" i="39"/>
  <c r="AD33" i="39"/>
  <c r="AC34" i="39"/>
  <c r="AD34" i="39"/>
  <c r="AC19" i="39"/>
  <c r="AD19" i="39"/>
  <c r="AC30" i="39"/>
  <c r="AD30" i="39"/>
  <c r="AC21" i="39"/>
  <c r="AD21" i="39"/>
  <c r="AC27" i="39"/>
  <c r="AD27" i="39"/>
  <c r="AC26" i="39"/>
  <c r="AD26" i="39"/>
  <c r="AC35" i="39"/>
  <c r="AD35" i="39"/>
  <c r="AC20" i="39"/>
  <c r="AD20" i="39"/>
  <c r="AC22" i="39"/>
  <c r="AD22" i="39"/>
  <c r="AC17" i="39"/>
  <c r="AD17" i="39"/>
  <c r="Y29" i="39"/>
  <c r="Z29" i="39"/>
  <c r="Y26" i="39"/>
  <c r="Z26" i="39"/>
  <c r="Y32" i="39"/>
  <c r="Z32" i="39"/>
  <c r="B43" i="39"/>
  <c r="AG36" i="39"/>
  <c r="AH36" i="39"/>
  <c r="I42" i="39"/>
  <c r="J42" i="39"/>
  <c r="Q40" i="39"/>
  <c r="R40" i="39"/>
  <c r="U39" i="39"/>
  <c r="V39" i="39"/>
  <c r="A1" i="28"/>
  <c r="A1" i="39"/>
  <c r="A1" i="43"/>
  <c r="E17" i="43"/>
  <c r="E18" i="43"/>
  <c r="E19" i="43"/>
  <c r="E20" i="43"/>
  <c r="E21" i="43"/>
  <c r="E22" i="43"/>
  <c r="E23" i="43"/>
  <c r="E24" i="43"/>
  <c r="E25" i="43"/>
  <c r="E26" i="43"/>
  <c r="E27" i="43"/>
  <c r="E28" i="43"/>
  <c r="E29" i="43"/>
  <c r="E30" i="43"/>
  <c r="E31" i="43"/>
  <c r="E32" i="43"/>
  <c r="E33" i="43"/>
  <c r="E34" i="43"/>
  <c r="E35" i="43"/>
  <c r="E36" i="43"/>
  <c r="E37" i="43"/>
  <c r="C40" i="43"/>
  <c r="Y39" i="39"/>
  <c r="Z39" i="39"/>
  <c r="M41" i="39"/>
  <c r="N41" i="39"/>
  <c r="M42" i="39"/>
  <c r="N42" i="39"/>
  <c r="AC38" i="39"/>
  <c r="AD38" i="39"/>
  <c r="B44" i="39"/>
  <c r="AC37" i="39"/>
  <c r="AD37" i="39"/>
  <c r="E43" i="39"/>
  <c r="F43" i="39"/>
  <c r="Y38" i="39"/>
  <c r="Z38" i="39"/>
  <c r="U40" i="39"/>
  <c r="V40" i="39"/>
  <c r="G32" i="39"/>
  <c r="H32" i="39"/>
  <c r="K31" i="39"/>
  <c r="L31" i="39"/>
  <c r="K18" i="39"/>
  <c r="L18" i="39"/>
  <c r="K30" i="39"/>
  <c r="L30" i="39"/>
  <c r="K33" i="39"/>
  <c r="L33" i="39"/>
  <c r="G31" i="39"/>
  <c r="H31" i="39"/>
  <c r="K25" i="39"/>
  <c r="L25" i="39"/>
  <c r="K38" i="39"/>
  <c r="L38" i="39"/>
  <c r="G35" i="39"/>
  <c r="H35" i="39"/>
  <c r="K29" i="39"/>
  <c r="L29" i="39"/>
  <c r="K22" i="39"/>
  <c r="L22" i="39"/>
  <c r="G18" i="39"/>
  <c r="H18" i="39"/>
  <c r="K19" i="39"/>
  <c r="L19" i="39"/>
  <c r="K21" i="39"/>
  <c r="L21" i="39"/>
  <c r="K24" i="39"/>
  <c r="L24" i="39"/>
  <c r="G26" i="39"/>
  <c r="H26" i="39"/>
  <c r="K28" i="39"/>
  <c r="L28" i="39"/>
  <c r="K34" i="39"/>
  <c r="L34" i="39"/>
  <c r="G19" i="39"/>
  <c r="H19" i="39"/>
  <c r="G25" i="39"/>
  <c r="H25" i="39"/>
  <c r="G38" i="39"/>
  <c r="H38" i="39"/>
  <c r="G36" i="39"/>
  <c r="H36" i="39"/>
  <c r="K20" i="39"/>
  <c r="L20" i="39"/>
  <c r="W24" i="39"/>
  <c r="X24" i="39"/>
  <c r="W19" i="39"/>
  <c r="X19" i="39"/>
  <c r="W18" i="39"/>
  <c r="X18" i="39"/>
  <c r="W35" i="39"/>
  <c r="X35" i="39"/>
  <c r="W29" i="39"/>
  <c r="X29" i="39"/>
  <c r="G29" i="39"/>
  <c r="H29" i="39"/>
  <c r="S35" i="39"/>
  <c r="T35" i="39"/>
  <c r="O26" i="39"/>
  <c r="P26" i="39"/>
  <c r="O25" i="39"/>
  <c r="P25" i="39"/>
  <c r="C40" i="39"/>
  <c r="AI32" i="39"/>
  <c r="AJ32" i="39"/>
  <c r="S31" i="39"/>
  <c r="T31" i="39"/>
  <c r="S22" i="39"/>
  <c r="T22" i="39"/>
  <c r="AI22" i="39"/>
  <c r="AJ22" i="39"/>
  <c r="AA20" i="39"/>
  <c r="AB20" i="39"/>
  <c r="AA23" i="39"/>
  <c r="AB23" i="39"/>
  <c r="AA34" i="39"/>
  <c r="AB34" i="39"/>
  <c r="AA27" i="39"/>
  <c r="AB27" i="39"/>
  <c r="AA17" i="39"/>
  <c r="AB17" i="39"/>
  <c r="O17" i="39"/>
  <c r="P17" i="39"/>
  <c r="O35" i="39"/>
  <c r="P35" i="39"/>
  <c r="O23" i="39"/>
  <c r="P23" i="39"/>
  <c r="AA35" i="39"/>
  <c r="AB35" i="39"/>
  <c r="S37" i="39"/>
  <c r="T37" i="39"/>
  <c r="AE34" i="39"/>
  <c r="AF34" i="39"/>
  <c r="W36" i="39"/>
  <c r="X36" i="39"/>
  <c r="O38" i="39"/>
  <c r="P38" i="39"/>
  <c r="G40" i="39"/>
  <c r="H40" i="39"/>
  <c r="C41" i="39"/>
  <c r="C42" i="39"/>
  <c r="C43" i="39"/>
  <c r="C44" i="39"/>
  <c r="C45" i="39"/>
  <c r="C46" i="39"/>
  <c r="C47" i="39"/>
  <c r="C48" i="39"/>
  <c r="C49" i="39"/>
  <c r="C50" i="39"/>
  <c r="C51" i="39"/>
  <c r="C52" i="39"/>
  <c r="C53" i="39"/>
  <c r="C54" i="39"/>
  <c r="AE38" i="39"/>
  <c r="AF38" i="39"/>
  <c r="AA43" i="39"/>
  <c r="AB43" i="39"/>
  <c r="AE35" i="39"/>
  <c r="AF35" i="39"/>
  <c r="K44" i="39"/>
  <c r="L44" i="39"/>
  <c r="W43" i="39"/>
  <c r="X43" i="39"/>
  <c r="AI33" i="39"/>
  <c r="AJ33" i="39"/>
  <c r="S40" i="39"/>
  <c r="T40" i="39"/>
  <c r="W46" i="39"/>
  <c r="X46" i="39"/>
  <c r="K39" i="39"/>
  <c r="L39" i="39"/>
  <c r="G42" i="39"/>
  <c r="H42" i="39"/>
  <c r="AI36" i="39"/>
  <c r="AJ36" i="39"/>
  <c r="G45" i="39"/>
  <c r="H45" i="39"/>
  <c r="AI41" i="39"/>
  <c r="AJ41" i="39"/>
  <c r="AI42" i="39"/>
  <c r="AJ42" i="39"/>
  <c r="W50" i="39"/>
  <c r="X50" i="39"/>
  <c r="G41" i="39"/>
  <c r="H41" i="39"/>
  <c r="Q41" i="39"/>
  <c r="R41" i="39"/>
  <c r="I43" i="39"/>
  <c r="J43" i="39"/>
  <c r="U41" i="39"/>
  <c r="V41" i="39"/>
  <c r="E40" i="43"/>
  <c r="B45" i="39"/>
  <c r="AG37" i="39"/>
  <c r="AH37" i="39"/>
  <c r="I44" i="39"/>
  <c r="J44" i="39"/>
  <c r="AC39" i="39"/>
  <c r="AD39" i="39"/>
  <c r="E45" i="39"/>
  <c r="F45" i="39"/>
  <c r="E44" i="39"/>
  <c r="F44" i="39"/>
  <c r="AG38" i="39"/>
  <c r="AH38" i="39"/>
  <c r="AA48" i="39"/>
  <c r="AB48" i="39"/>
  <c r="AI43" i="39"/>
  <c r="AJ43" i="39"/>
  <c r="AA39" i="39"/>
  <c r="AB39" i="39"/>
  <c r="AI34" i="39"/>
  <c r="AJ34" i="39"/>
  <c r="W47" i="39"/>
  <c r="X47" i="39"/>
  <c r="AI40" i="39"/>
  <c r="AJ40" i="39"/>
  <c r="G47" i="39"/>
  <c r="H47" i="39"/>
  <c r="G46" i="39"/>
  <c r="H46" i="39"/>
  <c r="K41" i="39"/>
  <c r="L41" i="39"/>
  <c r="O44" i="39"/>
  <c r="P44" i="39"/>
  <c r="W38" i="39"/>
  <c r="X38" i="39"/>
  <c r="AA46" i="39"/>
  <c r="AB46" i="39"/>
  <c r="W41" i="39"/>
  <c r="X41" i="39"/>
  <c r="AI37" i="39"/>
  <c r="AJ37" i="39"/>
  <c r="AE48" i="39"/>
  <c r="AF48" i="39"/>
  <c r="G48" i="39"/>
  <c r="H48" i="39"/>
  <c r="K47" i="39"/>
  <c r="L47" i="39"/>
  <c r="W39" i="39"/>
  <c r="X39" i="39"/>
  <c r="W49" i="39"/>
  <c r="X49" i="39"/>
  <c r="S44" i="39"/>
  <c r="T44" i="39"/>
  <c r="O42" i="39"/>
  <c r="P42" i="39"/>
  <c r="AA49" i="39"/>
  <c r="AB49" i="39"/>
  <c r="AA47" i="39"/>
  <c r="AB47" i="39"/>
  <c r="W44" i="39"/>
  <c r="X44" i="39"/>
  <c r="S41" i="39"/>
  <c r="T41" i="39"/>
  <c r="AA36" i="39"/>
  <c r="AB36" i="39"/>
  <c r="AA44" i="39"/>
  <c r="AB44" i="39"/>
  <c r="AA42" i="39"/>
  <c r="AB42" i="39"/>
  <c r="AA40" i="39"/>
  <c r="AB40" i="39"/>
  <c r="G44" i="39"/>
  <c r="H44" i="39"/>
  <c r="W42" i="39"/>
  <c r="X42" i="39"/>
  <c r="AA37" i="39"/>
  <c r="AB37" i="39"/>
  <c r="AI46" i="39"/>
  <c r="AJ46" i="39"/>
  <c r="S43" i="39"/>
  <c r="T43" i="39"/>
  <c r="AE45" i="39"/>
  <c r="AF45" i="39"/>
  <c r="O45" i="39"/>
  <c r="P45" i="39"/>
  <c r="G43" i="39"/>
  <c r="H43" i="39"/>
  <c r="W48" i="39"/>
  <c r="X48" i="39"/>
  <c r="AA41" i="39"/>
  <c r="AB41" i="39"/>
  <c r="AE37" i="39"/>
  <c r="AF37" i="39"/>
  <c r="AI47" i="39"/>
  <c r="AJ47" i="39"/>
  <c r="AE46" i="39"/>
  <c r="AF46" i="39"/>
  <c r="O46" i="39"/>
  <c r="P46" i="39"/>
  <c r="AA38" i="39"/>
  <c r="AB38" i="39"/>
  <c r="AE43" i="39"/>
  <c r="AF43" i="39"/>
  <c r="AE42" i="39"/>
  <c r="AF42" i="39"/>
  <c r="AE40" i="39"/>
  <c r="AF40" i="39"/>
  <c r="AI38" i="39"/>
  <c r="AJ38" i="39"/>
  <c r="O41" i="39"/>
  <c r="P41" i="39"/>
  <c r="AE36" i="39"/>
  <c r="AF36" i="39"/>
  <c r="W37" i="39"/>
  <c r="X37" i="39"/>
  <c r="B46" i="39"/>
  <c r="Y41" i="39"/>
  <c r="Z41" i="39"/>
  <c r="Y40" i="39"/>
  <c r="Z40" i="39"/>
  <c r="Q42" i="39"/>
  <c r="R42" i="39"/>
  <c r="Q43" i="39"/>
  <c r="R43" i="39"/>
  <c r="M43" i="39"/>
  <c r="N43" i="39"/>
  <c r="E46" i="39"/>
  <c r="F46" i="39"/>
  <c r="K40" i="39"/>
  <c r="L40" i="39"/>
  <c r="AE41" i="39"/>
  <c r="AF41" i="39"/>
  <c r="K43" i="39"/>
  <c r="L43" i="39"/>
  <c r="O39" i="39"/>
  <c r="P39" i="39"/>
  <c r="AI45" i="39"/>
  <c r="AJ45" i="39"/>
  <c r="W40" i="39"/>
  <c r="X40" i="39"/>
  <c r="W45" i="39"/>
  <c r="X45" i="39"/>
  <c r="O43" i="39"/>
  <c r="P43" i="39"/>
  <c r="AI35" i="39"/>
  <c r="AJ35" i="39"/>
  <c r="AA45" i="39"/>
  <c r="AB45" i="39"/>
  <c r="K45" i="39"/>
  <c r="L45" i="39"/>
  <c r="O40" i="39"/>
  <c r="P40" i="39"/>
  <c r="AE47" i="39"/>
  <c r="AF47" i="39"/>
  <c r="AE44" i="39"/>
  <c r="AF44" i="39"/>
  <c r="AI39" i="39"/>
  <c r="AJ39" i="39"/>
  <c r="K42" i="39"/>
  <c r="L42" i="39"/>
  <c r="AI44" i="39"/>
  <c r="AJ44" i="39"/>
  <c r="S45" i="39"/>
  <c r="T45" i="39"/>
  <c r="K46" i="39"/>
  <c r="L46" i="39"/>
  <c r="AE39" i="39"/>
  <c r="AF39" i="39"/>
  <c r="S42" i="39"/>
  <c r="T42" i="39"/>
  <c r="S39" i="39"/>
  <c r="T39" i="39"/>
  <c r="S38" i="39"/>
  <c r="T38" i="39"/>
  <c r="Y42" i="39"/>
  <c r="Z42" i="39"/>
  <c r="M44" i="39"/>
  <c r="N44" i="39"/>
  <c r="B47" i="39"/>
  <c r="Q44" i="39"/>
  <c r="R44" i="39"/>
  <c r="AC41" i="39"/>
  <c r="AD41" i="39"/>
  <c r="AG39" i="39"/>
  <c r="AH39" i="39"/>
  <c r="I45" i="39"/>
  <c r="J45" i="39"/>
  <c r="AC40" i="39"/>
  <c r="AD40" i="39"/>
  <c r="E47" i="39"/>
  <c r="F47" i="39"/>
  <c r="U42" i="39"/>
  <c r="V42" i="39"/>
  <c r="B48" i="39"/>
  <c r="Y43" i="39"/>
  <c r="Z43" i="39"/>
  <c r="AC42" i="39"/>
  <c r="AD42" i="39"/>
  <c r="Q45" i="39"/>
  <c r="R45" i="39"/>
  <c r="I47" i="39"/>
  <c r="J47" i="39"/>
  <c r="I46" i="39"/>
  <c r="J46" i="39"/>
  <c r="M46" i="39"/>
  <c r="N46" i="39"/>
  <c r="M45" i="39"/>
  <c r="N45" i="39"/>
  <c r="U43" i="39"/>
  <c r="V43" i="39"/>
  <c r="U44" i="39"/>
  <c r="V44" i="39"/>
  <c r="AG40" i="39"/>
  <c r="AH40" i="39"/>
  <c r="B49" i="39"/>
  <c r="AG41" i="39"/>
  <c r="AH41" i="39"/>
  <c r="AG42" i="39"/>
  <c r="AH42" i="39"/>
  <c r="AC43" i="39"/>
  <c r="AD43" i="39"/>
  <c r="Y44" i="39"/>
  <c r="Z44" i="39"/>
  <c r="E48" i="39"/>
  <c r="F48" i="39"/>
  <c r="B50" i="39"/>
  <c r="U45" i="39"/>
  <c r="V45" i="39"/>
  <c r="B51" i="39"/>
  <c r="Y46" i="39"/>
  <c r="Z46" i="39"/>
  <c r="U46" i="39"/>
  <c r="V46" i="39"/>
  <c r="AC44" i="39"/>
  <c r="AD44" i="39"/>
  <c r="AG43" i="39"/>
  <c r="AH43" i="39"/>
  <c r="Y45" i="39"/>
  <c r="Z45" i="39"/>
  <c r="U47" i="39"/>
  <c r="V47" i="39"/>
  <c r="AC45" i="39"/>
  <c r="AD45" i="39"/>
  <c r="B52" i="39"/>
  <c r="AC46" i="39"/>
  <c r="AD46" i="39"/>
  <c r="AG44" i="39"/>
  <c r="AH44" i="39"/>
  <c r="B53" i="39"/>
  <c r="Y47" i="39"/>
  <c r="Z47" i="39"/>
  <c r="AG45" i="39"/>
  <c r="AH45" i="39"/>
  <c r="U48" i="39"/>
  <c r="V48" i="39"/>
  <c r="B54" i="39"/>
  <c r="Y48" i="39"/>
  <c r="Z48" i="39"/>
  <c r="AG46" i="39"/>
  <c r="AH46" i="39"/>
  <c r="AC47" i="39"/>
  <c r="AD47" i="39"/>
  <c r="U49" i="39"/>
  <c r="V49" i="39"/>
  <c r="AC48" i="39"/>
  <c r="AD48" i="39"/>
  <c r="AG47" i="39"/>
  <c r="AH47" i="39"/>
  <c r="U50" i="39"/>
  <c r="V50" i="39"/>
  <c r="Y49" i="39"/>
  <c r="Z49" i="39"/>
  <c r="C2" i="39"/>
  <c r="A11" i="69"/>
  <c r="B2" i="43"/>
  <c r="A27" i="69"/>
  <c r="A29" i="69"/>
  <c r="D23" i="28"/>
  <c r="A26" i="69"/>
  <c r="I38" i="69"/>
  <c r="D39" i="28"/>
  <c r="A30" i="69"/>
  <c r="D43" i="28"/>
  <c r="C3" i="39"/>
  <c r="B3" i="43"/>
  <c r="D19" i="28"/>
  <c r="B5" i="43"/>
  <c r="C5" i="39"/>
  <c r="B6" i="94"/>
  <c r="C4" i="39"/>
  <c r="B4" i="43"/>
  <c r="D35" i="28"/>
  <c r="D33" i="28"/>
  <c r="D37" i="28"/>
  <c r="D29" i="28"/>
  <c r="D30" i="28"/>
  <c r="E22" i="94"/>
  <c r="F22" i="94"/>
  <c r="E43" i="94"/>
  <c r="F43" i="94"/>
  <c r="E46" i="94"/>
  <c r="F46" i="94"/>
  <c r="E31" i="94"/>
  <c r="F31" i="94"/>
  <c r="E12" i="94"/>
  <c r="F12" i="94"/>
  <c r="E15" i="94"/>
  <c r="F15" i="94"/>
  <c r="E42" i="94"/>
  <c r="F42" i="94"/>
  <c r="E26" i="94"/>
  <c r="F26" i="94"/>
  <c r="E28" i="94"/>
  <c r="F28" i="94"/>
  <c r="E39" i="94"/>
  <c r="F39" i="94"/>
  <c r="E5" i="94"/>
  <c r="F5" i="94"/>
  <c r="E25" i="94"/>
  <c r="F25" i="94"/>
  <c r="E32" i="94"/>
  <c r="F32" i="94"/>
  <c r="E11" i="94"/>
  <c r="F11" i="94"/>
  <c r="E21" i="94"/>
  <c r="F21" i="94"/>
  <c r="E50" i="94"/>
  <c r="F50" i="94"/>
  <c r="E33" i="94"/>
  <c r="F33" i="94"/>
  <c r="E19" i="94"/>
  <c r="F19" i="94"/>
  <c r="E34" i="94"/>
  <c r="F34" i="94"/>
  <c r="E7" i="94"/>
  <c r="F7" i="94"/>
  <c r="E37" i="94"/>
  <c r="F37" i="94"/>
  <c r="E29" i="94"/>
  <c r="F29" i="94"/>
  <c r="E4" i="94"/>
  <c r="F4" i="94"/>
  <c r="E23" i="94"/>
  <c r="F23" i="94"/>
  <c r="E40" i="94"/>
  <c r="F40" i="94"/>
  <c r="E13" i="94"/>
  <c r="F13" i="94"/>
  <c r="E6" i="94"/>
  <c r="F6" i="94"/>
  <c r="E16" i="94"/>
  <c r="F16" i="94"/>
  <c r="E51" i="94"/>
  <c r="F51" i="94"/>
  <c r="E41" i="94"/>
  <c r="F41" i="94"/>
  <c r="E20" i="94"/>
  <c r="F20" i="94"/>
  <c r="E38" i="94"/>
  <c r="F38" i="94"/>
  <c r="E8" i="94"/>
  <c r="F8" i="94"/>
  <c r="E36" i="94"/>
  <c r="F36" i="94"/>
  <c r="E18" i="94"/>
  <c r="F18" i="94"/>
  <c r="E24" i="94"/>
  <c r="F24" i="94"/>
  <c r="E49" i="94"/>
  <c r="F49" i="94"/>
  <c r="E35" i="94"/>
  <c r="F35" i="94"/>
  <c r="E10" i="94"/>
  <c r="F10" i="94"/>
  <c r="E27" i="94"/>
  <c r="F27" i="94"/>
  <c r="E48" i="94"/>
  <c r="F48" i="94"/>
  <c r="E9" i="94"/>
  <c r="F9" i="94"/>
  <c r="E45" i="94"/>
  <c r="F45" i="94"/>
  <c r="E47" i="94"/>
  <c r="F47" i="94"/>
  <c r="E30" i="94"/>
  <c r="F30" i="94"/>
  <c r="E44" i="94"/>
  <c r="F44" i="94"/>
  <c r="E17" i="94"/>
  <c r="F17" i="94"/>
  <c r="E14" i="94"/>
  <c r="F14" i="94"/>
  <c r="D32" i="28"/>
  <c r="D34" i="28"/>
  <c r="D27" i="28"/>
  <c r="B7" i="94"/>
  <c r="B8" i="94"/>
  <c r="D36" i="28"/>
  <c r="D28" i="28"/>
  <c r="D26" i="28"/>
  <c r="D31" i="28"/>
  <c r="B3" i="94"/>
  <c r="D44" i="28"/>
  <c r="D45" i="28"/>
  <c r="D24" i="28"/>
  <c r="AC10" i="39"/>
  <c r="B50" i="28"/>
  <c r="B47" i="28"/>
  <c r="AG10" i="39"/>
  <c r="E10" i="39"/>
  <c r="B48" i="28"/>
  <c r="I10" i="39"/>
  <c r="Y10" i="39"/>
  <c r="B49" i="28"/>
  <c r="M10" i="39"/>
  <c r="L4" i="69"/>
  <c r="Q10" i="39" l="1"/>
  <c r="U10" i="39"/>
</calcChain>
</file>

<file path=xl/comments1.xml><?xml version="1.0" encoding="utf-8"?>
<comments xmlns="http://schemas.openxmlformats.org/spreadsheetml/2006/main">
  <authors>
    <author>ai560</author>
  </authors>
  <commentList>
    <comment ref="C11" authorId="0">
      <text>
        <r>
          <rPr>
            <b/>
            <sz val="8"/>
            <color indexed="81"/>
            <rFont val="Tahoma"/>
            <family val="2"/>
          </rPr>
          <t>ai560:</t>
        </r>
        <r>
          <rPr>
            <sz val="8"/>
            <color indexed="81"/>
            <rFont val="Tahoma"/>
            <family val="2"/>
          </rPr>
          <t xml:space="preserve">
As per Kamal Rangaswamy phone conversation Jan 28, 2010</t>
        </r>
      </text>
    </comment>
  </commentList>
</comments>
</file>

<file path=xl/comments2.xml><?xml version="1.0" encoding="utf-8"?>
<comments xmlns="http://schemas.openxmlformats.org/spreadsheetml/2006/main">
  <authors>
    <author>ai560</author>
  </authors>
  <commentList>
    <comment ref="B11" authorId="0">
      <text>
        <r>
          <rPr>
            <b/>
            <sz val="8"/>
            <color indexed="81"/>
            <rFont val="Tahoma"/>
            <family val="2"/>
          </rPr>
          <t>ai560:</t>
        </r>
        <r>
          <rPr>
            <sz val="8"/>
            <color indexed="81"/>
            <rFont val="Tahoma"/>
            <family val="2"/>
          </rPr>
          <t xml:space="preserve">
As perAllison Fitzpatrick email + spreadsheet of Feb 2, 2010</t>
        </r>
      </text>
    </comment>
    <comment ref="D11" authorId="0">
      <text>
        <r>
          <rPr>
            <b/>
            <sz val="8"/>
            <color indexed="81"/>
            <rFont val="Tahoma"/>
            <family val="2"/>
          </rPr>
          <t>ai560:</t>
        </r>
        <r>
          <rPr>
            <sz val="8"/>
            <color indexed="81"/>
            <rFont val="Tahoma"/>
            <family val="2"/>
          </rPr>
          <t xml:space="preserve">
As perAllison Fitzpatrick email + spreadsheet of Feb 2, 2010</t>
        </r>
      </text>
    </comment>
    <comment ref="C15" authorId="0">
      <text>
        <r>
          <rPr>
            <b/>
            <sz val="8"/>
            <color indexed="81"/>
            <rFont val="Tahoma"/>
            <family val="2"/>
          </rPr>
          <t>ai560:</t>
        </r>
        <r>
          <rPr>
            <sz val="8"/>
            <color indexed="81"/>
            <rFont val="Tahoma"/>
            <family val="2"/>
          </rPr>
          <t xml:space="preserve">
As perAllison Fitzpatrick email + spreadsheet of Feb 2, 2010</t>
        </r>
      </text>
    </comment>
    <comment ref="E15" authorId="0">
      <text>
        <r>
          <rPr>
            <b/>
            <sz val="8"/>
            <color indexed="81"/>
            <rFont val="Tahoma"/>
            <family val="2"/>
          </rPr>
          <t>ai560:</t>
        </r>
        <r>
          <rPr>
            <sz val="8"/>
            <color indexed="81"/>
            <rFont val="Tahoma"/>
            <family val="2"/>
          </rPr>
          <t xml:space="preserve">
As perAllison Fitzpatrick email + spreadsheet of Feb 2, 2010</t>
        </r>
      </text>
    </comment>
  </commentList>
</comments>
</file>

<file path=xl/comments3.xml><?xml version="1.0" encoding="utf-8"?>
<comments xmlns="http://schemas.openxmlformats.org/spreadsheetml/2006/main">
  <authors>
    <author>Errol Pereira</author>
    <author>Sam Natche</author>
    <author>ai560</author>
    <author>Author</author>
  </authors>
  <commentList>
    <comment ref="D46" authorId="0">
      <text>
        <r>
          <rPr>
            <sz val="9"/>
            <color indexed="81"/>
            <rFont val="Tahoma"/>
            <family val="2"/>
          </rPr>
          <t>UARB approved target
Internal target is 30GWh</t>
        </r>
      </text>
    </comment>
    <comment ref="D52" authorId="1">
      <text>
        <r>
          <rPr>
            <b/>
            <sz val="9"/>
            <color indexed="81"/>
            <rFont val="Tahoma"/>
            <family val="2"/>
          </rPr>
          <t>Sam Natche:</t>
        </r>
        <r>
          <rPr>
            <sz val="9"/>
            <color indexed="81"/>
            <rFont val="Tahoma"/>
            <family val="2"/>
          </rPr>
          <t xml:space="preserve">
Based on an emial sent from Errol April 3, 2014
Sam / Mark, our database reports need to be updated. Please update the incentive calculator, PDA report and any other program database report that uses the financing rate with the figure of 8%.
</t>
        </r>
      </text>
    </comment>
    <comment ref="D53" authorId="2">
      <text>
        <r>
          <rPr>
            <b/>
            <sz val="8"/>
            <color indexed="81"/>
            <rFont val="Tahoma"/>
            <family val="2"/>
          </rPr>
          <t>JKnapp:</t>
        </r>
        <r>
          <rPr>
            <sz val="8"/>
            <color indexed="81"/>
            <rFont val="Tahoma"/>
            <family val="2"/>
          </rPr>
          <t xml:space="preserve">
As per email of Jan 20, 2010 from Allison Fitzpatrick</t>
        </r>
      </text>
    </comment>
    <comment ref="D54" authorId="2">
      <text>
        <r>
          <rPr>
            <b/>
            <sz val="8"/>
            <color indexed="81"/>
            <rFont val="Tahoma"/>
            <family val="2"/>
          </rPr>
          <t>JKnapp:</t>
        </r>
        <r>
          <rPr>
            <sz val="8"/>
            <color indexed="81"/>
            <rFont val="Tahoma"/>
            <family val="2"/>
          </rPr>
          <t xml:space="preserve">
As per email of Jan 20, 2010 from Allison Fitzpatrick</t>
        </r>
      </text>
    </comment>
    <comment ref="D58" authorId="2">
      <text>
        <r>
          <rPr>
            <b/>
            <sz val="8"/>
            <color indexed="81"/>
            <rFont val="Tahoma"/>
            <family val="2"/>
          </rPr>
          <t>JKnapp:</t>
        </r>
        <r>
          <rPr>
            <sz val="8"/>
            <color indexed="81"/>
            <rFont val="Tahoma"/>
            <family val="2"/>
          </rPr>
          <t xml:space="preserve">
As per email of Jan 23, 2010 from Chuck Faulkner</t>
        </r>
      </text>
    </comment>
    <comment ref="D64" authorId="3">
      <text>
        <r>
          <rPr>
            <sz val="11"/>
            <color indexed="81"/>
            <rFont val="Tahoma"/>
            <family val="2"/>
          </rPr>
          <t>EVT current assumption:  Electricity escalation should be held at 0.</t>
        </r>
      </text>
    </comment>
  </commentList>
</comments>
</file>

<file path=xl/sharedStrings.xml><?xml version="1.0" encoding="utf-8"?>
<sst xmlns="http://schemas.openxmlformats.org/spreadsheetml/2006/main" count="561" uniqueCount="424">
  <si>
    <t>ENSC Incentives</t>
  </si>
  <si>
    <t>ENSC Approved Implementation Incentive</t>
  </si>
  <si>
    <t>Amount approved for ENSC to finance to customer</t>
  </si>
  <si>
    <t>from 3-Incentive: Approved amount to be financed by ENSC</t>
  </si>
  <si>
    <t>from 3-Incentive: Approved length of financing by ENSC</t>
  </si>
  <si>
    <t>Total ENSC Financing Costs</t>
  </si>
  <si>
    <t>from 3-Incentive: ENSC's total cost of financing of approved amount</t>
  </si>
  <si>
    <t xml:space="preserve">Project Development Agreement ("Agreement") BETWEEN NOVA SCOTIA POWER INC. (“the Administrator”) and </t>
  </si>
  <si>
    <t xml:space="preserve"> (“the Customer”), made the </t>
  </si>
  <si>
    <t>NAME AND ADDRESS OF CUSTOMER</t>
  </si>
  <si>
    <t>Electrical Service Account #:</t>
  </si>
  <si>
    <t>DESCRIPTION OF CUSTOMER’S ELECTRICAL EFFICIENCY INITIATIVE</t>
  </si>
  <si>
    <t>(attach Appendix “A” if insufficient space)</t>
  </si>
  <si>
    <t>FINANCE TERMS</t>
  </si>
  <si>
    <t>Total Amount of Financing:</t>
  </si>
  <si>
    <t>Expected Advanced Date:</t>
  </si>
  <si>
    <t>Monthly Repayment Instalments:</t>
  </si>
  <si>
    <t>Repayment Term (months):</t>
  </si>
  <si>
    <t>TERMS AND CONDITIONS</t>
  </si>
  <si>
    <t>The undersigned agree that the Terms and Conditions attached [or on the reverse side] shall form part of this Finance Agreement.  The undersigned acknowledge having read and accepted such Terms and Conditions.</t>
  </si>
  <si>
    <t>FOR CUSTOMER</t>
  </si>
  <si>
    <t>Witness</t>
  </si>
  <si>
    <t>By submitting information to NSPI you agree to allow NSPI to use your information in accordance with NSPI’s Privacy Policy.  To review the Privacy Policy call or write NSPI or visit our website at www.nspower.ca</t>
  </si>
  <si>
    <t>Total ENSC Approved Incentives</t>
  </si>
  <si>
    <t>from 3-Incentive: Approved total value of ENSC incentives</t>
  </si>
  <si>
    <t>Company Name:</t>
  </si>
  <si>
    <t>Title</t>
  </si>
  <si>
    <t>Date</t>
  </si>
  <si>
    <t>Variable</t>
  </si>
  <si>
    <t>Name</t>
  </si>
  <si>
    <t>Value</t>
  </si>
  <si>
    <t>Year End</t>
  </si>
  <si>
    <t>yr_end</t>
  </si>
  <si>
    <t>M&amp;V Costs as % of project cost</t>
  </si>
  <si>
    <t>pct_mv_cost</t>
  </si>
  <si>
    <t>Measure</t>
  </si>
  <si>
    <t>$/kW</t>
  </si>
  <si>
    <t>(years)</t>
  </si>
  <si>
    <t>Life</t>
  </si>
  <si>
    <t xml:space="preserve"> </t>
  </si>
  <si>
    <t>Units / Comments</t>
  </si>
  <si>
    <t>Project Name</t>
  </si>
  <si>
    <t>Project Number</t>
  </si>
  <si>
    <t>Prepared By</t>
  </si>
  <si>
    <t>Date Prepared</t>
  </si>
  <si>
    <t>project_num</t>
  </si>
  <si>
    <t>prep_by</t>
  </si>
  <si>
    <t>prep_date</t>
  </si>
  <si>
    <t>incentive_budget_ratio</t>
  </si>
  <si>
    <t>Financing Rate</t>
  </si>
  <si>
    <t>financing_rate</t>
  </si>
  <si>
    <t>Project ID</t>
  </si>
  <si>
    <t>CIC Targets</t>
  </si>
  <si>
    <t>$/kWh</t>
  </si>
  <si>
    <t>Annual Electricity Cost Savings</t>
  </si>
  <si>
    <t>Annual Non-Electric Benefits</t>
  </si>
  <si>
    <t>Total Annual Benefits</t>
  </si>
  <si>
    <t>Instructions</t>
  </si>
  <si>
    <t>admin_cost_pkw</t>
  </si>
  <si>
    <t>Project Costs</t>
  </si>
  <si>
    <t>project_cost</t>
  </si>
  <si>
    <t>ann_ecost_savings</t>
  </si>
  <si>
    <t>ann_nonecost_savings</t>
  </si>
  <si>
    <t>ann_totcost_savings</t>
  </si>
  <si>
    <t>NSPI_imp_incentive</t>
  </si>
  <si>
    <t>NSPI_fin_amt</t>
  </si>
  <si>
    <t>NSPI_fin_length</t>
  </si>
  <si>
    <t>Annual Thermal Fuel Savings/(Costs)</t>
  </si>
  <si>
    <t xml:space="preserve"> Fuel Escalation</t>
  </si>
  <si>
    <t>Change in NG (MMBtu)</t>
  </si>
  <si>
    <t>Gas cost/MMBtu</t>
  </si>
  <si>
    <t>Change in NG Cost</t>
  </si>
  <si>
    <t>Change in LP (MMBtu)</t>
  </si>
  <si>
    <t>LP cost/MMBtu</t>
  </si>
  <si>
    <t>Change in LP Cost</t>
  </si>
  <si>
    <t>Change in Oil (MMBtu)</t>
  </si>
  <si>
    <t>Oil cost/MMBtu</t>
  </si>
  <si>
    <t>Change in Oil Cost</t>
  </si>
  <si>
    <t>Change in Wood (MMBtu)</t>
  </si>
  <si>
    <t>Wood cost/MMBtu</t>
  </si>
  <si>
    <t>Change in Wood Cost</t>
  </si>
  <si>
    <t>Minimum Measure Life (Yrs):</t>
  </si>
  <si>
    <t>Electricity Escalation:</t>
  </si>
  <si>
    <t>Year</t>
  </si>
  <si>
    <t>Base Case O&amp;M Costs</t>
  </si>
  <si>
    <t>Proposed Case O&amp;M Costs</t>
  </si>
  <si>
    <t>Net O&amp;M Savings/ (Costs)</t>
  </si>
  <si>
    <t>For Multi-Family: Rent Increase per Month</t>
  </si>
  <si>
    <t>Annual Water Savings</t>
  </si>
  <si>
    <t>Change in Gallons</t>
  </si>
  <si>
    <t>Water Cost/Gallon</t>
  </si>
  <si>
    <t>Change in Water Cost</t>
  </si>
  <si>
    <t>Operations &amp; Maintenance</t>
  </si>
  <si>
    <t>Repair and Replacement</t>
  </si>
  <si>
    <t>Salvage/Disposal</t>
  </si>
  <si>
    <t>Base Case R&amp;R Costs</t>
  </si>
  <si>
    <t>Proposed Case R&amp;R Costs</t>
  </si>
  <si>
    <t>Net R&amp;R Savings/ (Costs)</t>
  </si>
  <si>
    <t>Base Case S/D Costs</t>
  </si>
  <si>
    <t>Proposed Case S/D Costs</t>
  </si>
  <si>
    <t>Net S/D Savings/ (Costs)</t>
  </si>
  <si>
    <t>disc_rate_ene</t>
  </si>
  <si>
    <t>disc_rate_cap</t>
  </si>
  <si>
    <t>after-tax weighted average cost of capital for energy</t>
  </si>
  <si>
    <t>after-tax weighted average cost of capital for capacity</t>
  </si>
  <si>
    <t>Levelized Cost</t>
  </si>
  <si>
    <t>For</t>
  </si>
  <si>
    <t xml:space="preserve">NPV
</t>
  </si>
  <si>
    <t>ACC</t>
  </si>
  <si>
    <t>($/kW)</t>
  </si>
  <si>
    <t>install_yr</t>
  </si>
  <si>
    <t>IGNORE BELOW…CASH FLOW TOOL IN PROGRESS…</t>
  </si>
  <si>
    <t>Length of financinng (Months)</t>
  </si>
  <si>
    <t>$/MWh</t>
  </si>
  <si>
    <t>Levelized</t>
  </si>
  <si>
    <t>Current Year</t>
  </si>
  <si>
    <t>current_yr</t>
  </si>
  <si>
    <t>1.  First, enter data in fields that look like this (yellow background and blue font) on this sheet then on the Benefit Cost TRC sheet</t>
  </si>
  <si>
    <t>Some sheets have fields with double line borders.  This border indicates a calculated value that is used  in other worksheets.</t>
  </si>
  <si>
    <t>life_sav_mwh</t>
  </si>
  <si>
    <t>Total Resource Cost Test Ratio</t>
  </si>
  <si>
    <t>trc</t>
  </si>
  <si>
    <t>Total Lifetime Electricity Saved, MWh (at Meter)</t>
  </si>
  <si>
    <t>Avoided Costs</t>
  </si>
  <si>
    <t>Install Year</t>
  </si>
  <si>
    <t>install_mo</t>
  </si>
  <si>
    <t>Install Month</t>
  </si>
  <si>
    <t>Measure Description</t>
  </si>
  <si>
    <t>Inputs, Constants, Assumptions</t>
  </si>
  <si>
    <t>Total Net Present Value Benefits</t>
  </si>
  <si>
    <t>Customer Name</t>
  </si>
  <si>
    <t>from 2-Benefit Cost Analysis: Total Cost of Project Measures</t>
  </si>
  <si>
    <t>from 2-Benefit Cost Analysis: Total Annual Energy Savings of Project, at meter</t>
  </si>
  <si>
    <t>from 2-Benefit Cost Analysis: Total Lifetime Energy Savings, at meter, MWh</t>
  </si>
  <si>
    <t>from 2-Benefit Cost Analysis: Total Resource Cost Test Ratio</t>
  </si>
  <si>
    <t>from 3-Incentive: approved Implementation Incentive amount</t>
  </si>
  <si>
    <t>2. Then confirm data in fields that look like this (no background and blue font) on this sheet.  These data are not project-specific.</t>
  </si>
  <si>
    <t>Version Number</t>
  </si>
  <si>
    <t>version</t>
  </si>
  <si>
    <t>Workbook</t>
  </si>
  <si>
    <t>Present Values in Install Year $</t>
  </si>
  <si>
    <t>from 2-Benefit Cost Analysis: Total Net Present Value Benefits, Install Year $</t>
  </si>
  <si>
    <t>All dollars are Current Year Dollars, unless noted as Install Year Dollars.</t>
  </si>
  <si>
    <t>Inflation Rate</t>
  </si>
  <si>
    <t>infl_rate</t>
  </si>
  <si>
    <t>cust_sav_kwh</t>
  </si>
  <si>
    <r>
      <t xml:space="preserve">from 2-Benefit Cost Analysis: Total Annual Incremental </t>
    </r>
    <r>
      <rPr>
        <b/>
        <sz val="10"/>
        <rFont val="Arial"/>
        <family val="2"/>
      </rPr>
      <t>Non-Coincident</t>
    </r>
    <r>
      <rPr>
        <sz val="10"/>
        <rFont val="Arial"/>
        <family val="2"/>
      </rPr>
      <t xml:space="preserve"> Peak Demand Savings of Project, at meter</t>
    </r>
  </si>
  <si>
    <t>cust_NCPD_sav_kw</t>
  </si>
  <si>
    <t>NSPI_fin_cost</t>
  </si>
  <si>
    <t>Project Costs &amp; Benefits</t>
  </si>
  <si>
    <t>Customer Simple Payback After Incentive</t>
  </si>
  <si>
    <t>payb_w_incent</t>
  </si>
  <si>
    <r>
      <t xml:space="preserve">from 2-Benefit Cost Analysis: Total Annual Incremental </t>
    </r>
    <r>
      <rPr>
        <b/>
        <sz val="10"/>
        <rFont val="Arial"/>
        <family val="2"/>
      </rPr>
      <t>Coincident</t>
    </r>
    <r>
      <rPr>
        <sz val="10"/>
        <rFont val="Arial"/>
        <family val="2"/>
      </rPr>
      <t xml:space="preserve"> Peak Demand Savings of Project, at generator</t>
    </r>
  </si>
  <si>
    <t>sys_CPD_sav_kw</t>
  </si>
  <si>
    <t>sys_sav_kwh</t>
  </si>
  <si>
    <t>Annual Customer Electricity Saved (at Meter)</t>
  </si>
  <si>
    <t>Annual System Electricity Saved (at Generator)</t>
  </si>
  <si>
    <t>hst</t>
  </si>
  <si>
    <t>current HST</t>
  </si>
  <si>
    <t>include_hst</t>
  </si>
  <si>
    <t>If HST should be added to the calculation of measure costs, enter 1.  Otherwise enter 0.</t>
  </si>
  <si>
    <t>Add HST in Measure Costs?  Yes = 1,  No = 0</t>
  </si>
  <si>
    <t>Notes:</t>
  </si>
  <si>
    <t>Date:</t>
  </si>
  <si>
    <t>Prepared By:</t>
  </si>
  <si>
    <t>Revision Date</t>
  </si>
  <si>
    <t>Revised By</t>
  </si>
  <si>
    <t>Input year of Installation of Measures which, with Measure Life, determines avoided costs</t>
  </si>
  <si>
    <t>budget</t>
  </si>
  <si>
    <t>target_kw</t>
  </si>
  <si>
    <t>target_kwh</t>
  </si>
  <si>
    <t>incentive_budget</t>
  </si>
  <si>
    <t>Portion of Total Budget Used for Incentives</t>
  </si>
  <si>
    <t>Energy Conserved (kWh)</t>
  </si>
  <si>
    <t>Operating Dates</t>
  </si>
  <si>
    <t>Harmonized Sales Tax Rate</t>
  </si>
  <si>
    <t>Measurement &amp; Verification Rate</t>
  </si>
  <si>
    <t>Discount Rate - Energy</t>
  </si>
  <si>
    <t>Discount Rate - Capacity</t>
  </si>
  <si>
    <t>Important Rates</t>
  </si>
  <si>
    <t>Average inflation rate</t>
  </si>
  <si>
    <t>NSPI financing rate.</t>
  </si>
  <si>
    <t>Customer:</t>
  </si>
  <si>
    <t>Project:</t>
  </si>
  <si>
    <t xml:space="preserve">NSPI  Annual Avoided Costs
(see Note) </t>
  </si>
  <si>
    <t>Escalation Rate:</t>
  </si>
  <si>
    <t>Avoided Energy Costs</t>
  </si>
  <si>
    <t>Energy
(Portion of
All-In Costs)
($/kWh)</t>
  </si>
  <si>
    <t>Capacity
(Incl 20% for
Reserve
Margin)
($/kWh)</t>
  </si>
  <si>
    <t>1. Avoided capacity costs for years 2010-2032 and avoided energy costs for years 2010-2032 are from Avoided Costs_Annual Values for Energy and Capacity_Apr30-08.xls.</t>
  </si>
  <si>
    <t xml:space="preserve">2. Avoided capacity costs for years 2033-2041 and avoided energy costs for years 2033-2041 are escalated at 2% annually as per Kamala Rangaswamy. </t>
  </si>
  <si>
    <t>Incl 20% for RM</t>
  </si>
  <si>
    <t>AEC</t>
  </si>
  <si>
    <t>Annual Avoided Energy Costs (AEC)</t>
  </si>
  <si>
    <t>Annual Avoided Capacity Costs (ACC)</t>
  </si>
  <si>
    <t>NPV (2010 - 2032)</t>
  </si>
  <si>
    <t>(as a Portion of All-In)</t>
  </si>
  <si>
    <t>from Kamala Rangaswamy, Annual Avoided DSM Costs_Energy_as per 2009 IRP Update_Jan19-10.xls</t>
  </si>
  <si>
    <t xml:space="preserve"> in Halifax, Nova Scotia. Administrator and Customer may be individually referred to as a “Party” and collectively as the “Parties.”</t>
  </si>
  <si>
    <t>Mailing Address:</t>
  </si>
  <si>
    <t>Facility Name</t>
  </si>
  <si>
    <t>Phone Number</t>
  </si>
  <si>
    <t>Email</t>
  </si>
  <si>
    <t>Annual Incremental Customer Demand Reduction (at Meter)</t>
  </si>
  <si>
    <t>Annual Incremental System Peak Demand Reduction (at Generator)</t>
  </si>
  <si>
    <t>from 2-Benefit Cost Analysis: Annual Incremental System Electricity Saved, at generator</t>
  </si>
  <si>
    <t>Administrative Costs per System Peak Demand Conserved, $/kVA</t>
  </si>
  <si>
    <t>Total = $1,889/kVA (from settlement) agreement and 33% of Total costs = Admin (from benchmarking)</t>
  </si>
  <si>
    <t>Revision Log</t>
  </si>
  <si>
    <t>Revision No.</t>
  </si>
  <si>
    <t>Description</t>
  </si>
  <si>
    <t>Financing Cost Percent</t>
  </si>
  <si>
    <t>fin_cost_rate</t>
  </si>
  <si>
    <t>azaki@efficiencyns.ca</t>
  </si>
  <si>
    <t>(902) 470-3553</t>
  </si>
  <si>
    <t>ahenwood@efficiencyns.ca</t>
  </si>
  <si>
    <t>(902) 470-3567</t>
  </si>
  <si>
    <t>Service Address (if different from above)</t>
  </si>
  <si>
    <t>FOR NOVA SCOTIA POWER INC.</t>
  </si>
  <si>
    <t>Signed by:</t>
  </si>
  <si>
    <t>Witness:</t>
  </si>
  <si>
    <t>Name of Customer:</t>
  </si>
  <si>
    <t>(print)</t>
  </si>
  <si>
    <t>Position:</t>
  </si>
  <si>
    <t>Contact name:</t>
  </si>
  <si>
    <t>Phone:</t>
  </si>
  <si>
    <t>Ahmed Zaki</t>
  </si>
  <si>
    <t>dbligh@efficiencyns.ca</t>
  </si>
  <si>
    <t>NSPI Account Number</t>
  </si>
  <si>
    <t>Corrected Annual Incremental Customer Peak Demand Reduction (at Generator)</t>
  </si>
  <si>
    <t>csys_CPD_sav_kw</t>
  </si>
  <si>
    <t>Reduction from ENSC Peak Demand (kW)</t>
  </si>
  <si>
    <t>(902) 470-3569</t>
  </si>
  <si>
    <t>(902) 470-3554</t>
  </si>
  <si>
    <t>(902) 470-3584</t>
  </si>
  <si>
    <t>smitchell@efficiencyns.ca</t>
  </si>
  <si>
    <t>BNI Custom Total Incentive Budget</t>
  </si>
  <si>
    <t>BNI Custom Project Managers</t>
  </si>
  <si>
    <t>BNI Custom Total Budget</t>
  </si>
  <si>
    <t>Mark Robertson, EIT</t>
  </si>
  <si>
    <t>Mark Robertson</t>
  </si>
  <si>
    <t>DSMDS Project Owner</t>
  </si>
  <si>
    <t>ESET</t>
  </si>
  <si>
    <t>EIT</t>
  </si>
  <si>
    <t>Andrea Henwood</t>
  </si>
  <si>
    <t>David Bligh</t>
  </si>
  <si>
    <t>Samer Al-Natche</t>
  </si>
  <si>
    <t>Sarah Mitchell</t>
  </si>
  <si>
    <t>DB_proj_owner</t>
  </si>
  <si>
    <t>project_name</t>
  </si>
  <si>
    <t>DB_proj_ID</t>
  </si>
  <si>
    <t>DSMDS Project ID</t>
  </si>
  <si>
    <t>DSMDS Expected Completion</t>
  </si>
  <si>
    <t>customer_name</t>
  </si>
  <si>
    <t>NSPI_acct_number</t>
  </si>
  <si>
    <t>2013.0.1</t>
  </si>
  <si>
    <t>Efficiency Specialist</t>
  </si>
  <si>
    <t>Efficiency Coordinator</t>
  </si>
  <si>
    <t>Mark Robertson &amp; Sam Al-Natche</t>
  </si>
  <si>
    <t>Customer Simple Payback before Incentive</t>
  </si>
  <si>
    <t>payb_wo_incent</t>
  </si>
  <si>
    <t>project_end_date</t>
  </si>
  <si>
    <t>Track 1</t>
  </si>
  <si>
    <t>Track 2</t>
  </si>
  <si>
    <t>Compressed Air Optimization</t>
  </si>
  <si>
    <t>Custom Track List</t>
  </si>
  <si>
    <t>Initial test version of 2-tab PDA and database inputs</t>
  </si>
  <si>
    <t>Version sent to CGI</t>
  </si>
  <si>
    <t>NPV Summary</t>
  </si>
  <si>
    <t>Annual Cost Savings</t>
  </si>
  <si>
    <t>Discount Rate</t>
  </si>
  <si>
    <t>Annual Energy Increase Rate</t>
  </si>
  <si>
    <t>Measure Life</t>
  </si>
  <si>
    <t>Project Cost</t>
  </si>
  <si>
    <t>NPV (Net Present Value)</t>
  </si>
  <si>
    <t>Net Present Value Summary</t>
  </si>
  <si>
    <t>NPV Balance</t>
  </si>
  <si>
    <t>NPV</t>
  </si>
  <si>
    <t>Updated version for CGI to upload as initial template on DSMDS</t>
  </si>
  <si>
    <t>Jenna LeBlanc</t>
  </si>
  <si>
    <t>(902) 470-3503</t>
  </si>
  <si>
    <t>jleblanc@efficiencyns.ca</t>
  </si>
  <si>
    <t>Document Title (title)</t>
  </si>
  <si>
    <t>Version (version)</t>
  </si>
  <si>
    <t>Revised spreadsheet before submission to CGI December 3, 2013.</t>
  </si>
  <si>
    <t>Mark Robertson &amp; Sam Natche</t>
  </si>
  <si>
    <t>2013.0.2</t>
  </si>
  <si>
    <t>2013.0.8</t>
  </si>
  <si>
    <t>2013.1.0</t>
  </si>
  <si>
    <t>Qualifications</t>
  </si>
  <si>
    <t>Alex England</t>
  </si>
  <si>
    <t>Glen MacDougall</t>
  </si>
  <si>
    <t>Embedded Energy Specialist</t>
  </si>
  <si>
    <t>aengland@efficiencyns.ca</t>
  </si>
  <si>
    <t>gmacdougall@efficiencyns.ca</t>
  </si>
  <si>
    <t>P.Eng</t>
  </si>
  <si>
    <t>(902) 470-3500</t>
  </si>
  <si>
    <t>2013.1.1</t>
  </si>
  <si>
    <t>Revised spreadsheet before submission to CGI December 18, 2013.</t>
  </si>
  <si>
    <t>This Finance Agreement is entered between Nova Scotia Power Incorporated (NSPI), P.O. Box 910, Halifax, Nova Scotia, B3J 2W5 and the customer described below (Customer).</t>
  </si>
  <si>
    <t>New Construction</t>
  </si>
  <si>
    <t>Revised Measures tab to accept New Construction measures from DSMDS.  Removed Annual Hours of Operation input field; adjusted TRC calculation to use actual kW instead of kWh/AHO.</t>
  </si>
  <si>
    <t>2014.1.2</t>
  </si>
  <si>
    <t>(902) 470-3516</t>
  </si>
  <si>
    <t>charrington@efficiencyns.ca</t>
  </si>
  <si>
    <t>Old DSMDS Measure Name</t>
  </si>
  <si>
    <t>New Measure Category</t>
  </si>
  <si>
    <t>This refers to efficient appliance measures</t>
  </si>
  <si>
    <t>MEASURE ERROR</t>
  </si>
  <si>
    <t>Energy monitoring and tracking systems</t>
  </si>
  <si>
    <t>General measure to cover schoolwide implementation</t>
  </si>
  <si>
    <t>Motors and Variable Speed Drives</t>
  </si>
  <si>
    <t>Motors</t>
  </si>
  <si>
    <t>Industrial Process</t>
  </si>
  <si>
    <t>Process</t>
  </si>
  <si>
    <t>Building Envelope</t>
  </si>
  <si>
    <t>Envelope</t>
  </si>
  <si>
    <t>Lighting</t>
  </si>
  <si>
    <t>HVAC</t>
  </si>
  <si>
    <t>Compressed Air</t>
  </si>
  <si>
    <t>Refrigeration</t>
  </si>
  <si>
    <t>Revised Measures tab to accept 2013 Custom measures, using the old DSMDS Measures table.</t>
  </si>
  <si>
    <t>2014.1.3</t>
  </si>
  <si>
    <t>Workflow Name</t>
  </si>
  <si>
    <t>Program Name</t>
  </si>
  <si>
    <t>Workflow Year</t>
  </si>
  <si>
    <t>Custom - Track 2</t>
  </si>
  <si>
    <t>Custom - Track 1</t>
  </si>
  <si>
    <t>C&amp;I Custom Workflow - Dave C Bligh</t>
  </si>
  <si>
    <t>Custom</t>
  </si>
  <si>
    <t>C&amp;I Custom Workflow - Sarah Mitchell</t>
  </si>
  <si>
    <t>C&amp;I Custom Workflow - Adam Hayter</t>
  </si>
  <si>
    <t>C&amp;I Custom Workflow - Sam Al-Natche</t>
  </si>
  <si>
    <t>C&amp;I Custom Workflow - Jenna LeBlanc</t>
  </si>
  <si>
    <t>C&amp;I Custom Workflow - Mark Robertson</t>
  </si>
  <si>
    <t>C&amp;I Custom Workflow - Errol Pereira</t>
  </si>
  <si>
    <t>C&amp;I Custom Workflow - Andrea Henwood</t>
  </si>
  <si>
    <t>C&amp;I Custom Workflow - Charles Harrington</t>
  </si>
  <si>
    <t>CI NC Workflow - Dave C Bligh</t>
  </si>
  <si>
    <t>CI NC Workflow - Charles Harrington</t>
  </si>
  <si>
    <t>EBCx Workflow</t>
  </si>
  <si>
    <t>Custom Retrofit</t>
  </si>
  <si>
    <t>Existing Building Commissioning</t>
  </si>
  <si>
    <t>Measures falling under the whole building category</t>
  </si>
  <si>
    <t>Prescriptive guideline New Construction process</t>
  </si>
  <si>
    <t>Prescriptive</t>
  </si>
  <si>
    <t>Charles Harrington</t>
  </si>
  <si>
    <t>Program Manager</t>
  </si>
  <si>
    <t>3. Avoided capacity costs for years 2042-2047 and avoided energy costs for years 2042-2047 were added in 2014, at the same escalation rate as years 2033-2041.</t>
  </si>
  <si>
    <t>4. Install years 2015, 2016, and 2017 were added in 2014, using all the same assumptions as years 2010-2014.</t>
  </si>
  <si>
    <t>EBC Workflow</t>
  </si>
  <si>
    <t>Donald Dodge</t>
  </si>
  <si>
    <t>Steve Crane</t>
  </si>
  <si>
    <t>Michael Archibald</t>
  </si>
  <si>
    <t>Dan McAfee</t>
  </si>
  <si>
    <t>(902) 470-3556</t>
  </si>
  <si>
    <t>Business Development Manager</t>
  </si>
  <si>
    <t>scrane@efficiencyns.ca</t>
  </si>
  <si>
    <t>(902) 470-3543</t>
  </si>
  <si>
    <t>(902) 470-3512</t>
  </si>
  <si>
    <t>(902) 470-3568</t>
  </si>
  <si>
    <t>ddodge@efficiencyns.ca</t>
  </si>
  <si>
    <t>marchibald@efficiencyns.ca</t>
  </si>
  <si>
    <t>dmcafee@efficiencyns.ca</t>
  </si>
  <si>
    <t>2014.1.4</t>
  </si>
  <si>
    <t>Added BDM info to PDA cover page.</t>
  </si>
  <si>
    <t>In connection with the Electrical Efficiency Program (Program) run by Efficiency Nova Scotia (“ENS”), upon providing its credit approval of the Customer, NSPI agrees that it will provide financing to the Customer as described below in connection with the electrical efficiency initiative to be undertaken by the Customer as described below (Project).</t>
  </si>
  <si>
    <t>Colin MacDonald</t>
  </si>
  <si>
    <t>2015.1.5</t>
  </si>
  <si>
    <t>Revised spreadsheet to convert to an electronic PDA process.</t>
  </si>
  <si>
    <t>Revision</t>
  </si>
  <si>
    <t>Revised style and format. Optimised for electronic delivery</t>
  </si>
  <si>
    <t>2016.2.0</t>
  </si>
  <si>
    <t>Dated Revised</t>
  </si>
  <si>
    <t>(902) 470-3619</t>
  </si>
  <si>
    <t>salnatche@efficiencyns.ca</t>
  </si>
  <si>
    <t>Lead Business Development Manager</t>
  </si>
  <si>
    <t>Mohsin Khan</t>
  </si>
  <si>
    <t>mkhan@efficiencyns.ca</t>
  </si>
  <si>
    <t>EMIT, CMVPIT</t>
  </si>
  <si>
    <t>Avery Kartes</t>
  </si>
  <si>
    <t>akartes@efficiencyns.ca</t>
  </si>
  <si>
    <t>comacDonald@efficiencyns.ca</t>
  </si>
  <si>
    <t>Energy Solutions Advisor</t>
  </si>
  <si>
    <t>MASc, EMIT</t>
  </si>
  <si>
    <t>2016.2.1</t>
  </si>
  <si>
    <t>Revised EEM Table and updated Project Owner Table</t>
  </si>
  <si>
    <t>Non-Electric Savings ($)</t>
  </si>
  <si>
    <t>ID</t>
  </si>
  <si>
    <t>Description of Energy Saving Measure</t>
  </si>
  <si>
    <t>Page ____ of ____ (Include additional copies of this page if more space is required.)</t>
  </si>
  <si>
    <t>Note: Estimated Simple Payback = Equipment cost divided by estimated first year savings in electrical energy and demand charges, using your current utility rates (i.e. $/kWh, $/kW)</t>
  </si>
  <si>
    <t>Estimated Simple
Payback (Years)</t>
  </si>
  <si>
    <t>Measure Life
(Years)</t>
  </si>
  <si>
    <t>Annual
Electrical 
Savings ($)</t>
  </si>
  <si>
    <t>Master List of Findings</t>
  </si>
  <si>
    <t xml:space="preserve">     </t>
  </si>
  <si>
    <t xml:space="preserve">____________________________________________ </t>
  </si>
  <si>
    <t xml:space="preserve">   DD      </t>
  </si>
  <si>
    <t xml:space="preserve"> MM       </t>
  </si>
  <si>
    <t>YYYY</t>
  </si>
  <si>
    <t>Annual
Electrical Energy
Savings (kWh)</t>
  </si>
  <si>
    <t xml:space="preserve"> Maximum Project Costs ($)</t>
  </si>
  <si>
    <t>3.  Sign and return the completed form to Efficiency Nova Scotia, preferably by email:</t>
  </si>
  <si>
    <t>Customer and Project Information</t>
  </si>
  <si>
    <t>Customer Name:</t>
  </si>
  <si>
    <t>Project Name:</t>
  </si>
  <si>
    <t>Annual
Electrical Demand
Savings
(kW or kVA)</t>
  </si>
  <si>
    <t>Efficiency Nova Scotia Project Number:</t>
  </si>
  <si>
    <t xml:space="preserve">Please complete the following information as listed in the Investigation Application Review.  </t>
  </si>
  <si>
    <t>Capital Projects</t>
  </si>
  <si>
    <t>By signing below, I agree the information provided is complete and accurate.</t>
  </si>
  <si>
    <t>Name (Please Print)</t>
  </si>
  <si>
    <t>Title (Please Print)</t>
  </si>
  <si>
    <t>Signature</t>
  </si>
  <si>
    <t>Recommissioning Measures</t>
  </si>
  <si>
    <t xml:space="preserve">Building Optimization </t>
  </si>
  <si>
    <t>1.   Briefly describe the energy saving measures found during the investigation study, describing the equipment and/or changes that will achieve savings in electricity.  Savings and payback figures are to be based on preliminary estimates.</t>
  </si>
  <si>
    <t>2.  Attach supporting documentation for the energy savings estimates. Energy savings estimates should be quantified separately for each measure and any assumptions that are made should be indicated.  For energy savings estimates that are based on simulations using propriety software, please provide the name and version of the software, the inputs and outputs, and a description of the algorithms that were used.</t>
  </si>
  <si>
    <t xml:space="preserve"> Master List of Findings</t>
  </si>
  <si>
    <r>
      <rPr>
        <b/>
        <sz val="12"/>
        <rFont val="Gotham Book"/>
        <family val="3"/>
      </rPr>
      <t>Email:
cicustom@efficiencyns.ca</t>
    </r>
    <r>
      <rPr>
        <sz val="12"/>
        <rFont val="Gotham Book"/>
        <family val="3"/>
      </rPr>
      <t xml:space="preserve">
(Please note that we cannot accept high risk attachments such as ZIP, EXE or files that exceed 10MB.)</t>
    </r>
  </si>
  <si>
    <r>
      <rPr>
        <b/>
        <sz val="12"/>
        <rFont val="Gotham Book"/>
        <family val="3"/>
      </rPr>
      <t xml:space="preserve">Mail:
Efficiency Nova Scotia
230 Brownlow Ave., Suite 300
Dartmouth, NS B3B 0G5 </t>
    </r>
    <r>
      <rPr>
        <sz val="12"/>
        <rFont val="Gotham Book"/>
        <family val="3"/>
      </rPr>
      <t xml:space="preserve">
Attention: Master List of Findings</t>
    </r>
  </si>
  <si>
    <r>
      <rPr>
        <b/>
        <sz val="12"/>
        <rFont val="Gotham Book"/>
        <family val="3"/>
      </rPr>
      <t>Fax:</t>
    </r>
    <r>
      <rPr>
        <sz val="12"/>
        <rFont val="Gotham Book"/>
        <family val="3"/>
      </rPr>
      <t xml:space="preserve">
</t>
    </r>
    <r>
      <rPr>
        <b/>
        <sz val="12"/>
        <rFont val="Gotham Book"/>
        <family val="3"/>
      </rPr>
      <t>902 470 3599</t>
    </r>
    <r>
      <rPr>
        <sz val="12"/>
        <rFont val="Gotham Book"/>
        <family val="3"/>
      </rPr>
      <t xml:space="preserve">
Attention: Master List of Findings</t>
    </r>
  </si>
  <si>
    <r>
      <t xml:space="preserve">By completing and submitting this form, I hereby consent to the purposes for which Efficiency Nova Scotia is collecting, using and disclosing company information as set out in Efficiency Nova Scotia’s Privacy Policy. More information on Efficiency Nova Scotia's Privacy can be found online, </t>
    </r>
    <r>
      <rPr>
        <b/>
        <sz val="12"/>
        <rFont val="Gotham Book"/>
        <family val="3"/>
      </rPr>
      <t>efficiencyns.ca/privacy-policy</t>
    </r>
    <r>
      <rPr>
        <sz val="12"/>
        <rFont val="Gotham Book"/>
        <family val="3"/>
      </rPr>
      <t xml:space="preserve"> or by email, </t>
    </r>
    <r>
      <rPr>
        <b/>
        <sz val="12"/>
        <rFont val="Gotham Book"/>
        <family val="3"/>
      </rPr>
      <t>privacy@efficiencyns.ca.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</si>
</sst>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quot;$&quot;#,##0_);\(&quot;$&quot;#,##0\)"/>
    <numFmt numFmtId="165" formatCode="&quot;$&quot;#,##0_);[Red]\(&quot;$&quot;#,##0\)"/>
    <numFmt numFmtId="166" formatCode="&quot;$&quot;#,##0.00_);\(&quot;$&quot;#,##0.00\)"/>
    <numFmt numFmtId="167" formatCode="&quot;$&quot;#,##0.00_);[Red]\(&quot;$&quot;#,##0.00\)"/>
    <numFmt numFmtId="170" formatCode="_(&quot;$&quot;* #,##0.00_);_(&quot;$&quot;* \(#,##0.00\);_(&quot;$&quot;* &quot;-&quot;??_);_(@_)"/>
    <numFmt numFmtId="171" formatCode="_(* #,##0.00_);_(* \(#,##0.00\);_(* &quot;-&quot;??_);_(@_)"/>
    <numFmt numFmtId="172" formatCode="&quot;$&quot;#,##0"/>
    <numFmt numFmtId="173" formatCode="_(* #,##0_);_(* \(#,##0\);_(* &quot;-&quot;??_);_(@_)"/>
    <numFmt numFmtId="174" formatCode="&quot;$&quot;#,##0.00"/>
    <numFmt numFmtId="176" formatCode="##0%"/>
    <numFmt numFmtId="177" formatCode="&quot;$&quot;#,##0.000"/>
    <numFmt numFmtId="179" formatCode="0.0"/>
    <numFmt numFmtId="180" formatCode="0.00000"/>
    <numFmt numFmtId="181" formatCode="&quot;$&quot;#,##0.00000"/>
    <numFmt numFmtId="182" formatCode="#,##0.0"/>
    <numFmt numFmtId="183" formatCode="[$-1009]d\-mmm\-yy;@"/>
    <numFmt numFmtId="186" formatCode="&quot;$&quot;\ #,##0.00"/>
    <numFmt numFmtId="187" formatCode="[$-1009]mmmm\ d\,\ yyyy;@"/>
    <numFmt numFmtId="189" formatCode="&quot;$&quot;#,##0.0"/>
    <numFmt numFmtId="192" formatCode="[$-F800]dddd\,\ mmmm\ dd\,\ yyyy"/>
    <numFmt numFmtId="193" formatCode="dd\ mmm\ yyyy"/>
    <numFmt numFmtId="198" formatCode="[$-409]mmmm\ d\,\ yyyy;@"/>
  </numFmts>
  <fonts count="83">
    <font>
      <sz val="10"/>
      <name val="Arial"/>
    </font>
    <font>
      <sz val="10"/>
      <name val="Arial"/>
    </font>
    <font>
      <u/>
      <sz val="10"/>
      <color indexed="12"/>
      <name val="MS Sans Serif"/>
      <family val="2"/>
    </font>
    <font>
      <b/>
      <sz val="12"/>
      <name val="Arial"/>
      <family val="2"/>
    </font>
    <font>
      <sz val="10"/>
      <name val="Arial"/>
      <family val="2"/>
    </font>
    <font>
      <b/>
      <sz val="10"/>
      <name val="Arial"/>
      <family val="2"/>
    </font>
    <font>
      <b/>
      <sz val="10"/>
      <color indexed="12"/>
      <name val="Arial"/>
      <family val="2"/>
    </font>
    <font>
      <sz val="8"/>
      <name val="Arial"/>
      <family val="2"/>
    </font>
    <font>
      <i/>
      <sz val="10"/>
      <name val="Arial"/>
      <family val="2"/>
    </font>
    <font>
      <sz val="9"/>
      <name val="Arial"/>
      <family val="2"/>
    </font>
    <font>
      <b/>
      <sz val="10"/>
      <color indexed="12"/>
      <name val="Arial"/>
      <family val="2"/>
    </font>
    <font>
      <sz val="10"/>
      <color indexed="12"/>
      <name val="Arial"/>
      <family val="2"/>
    </font>
    <font>
      <u/>
      <sz val="10"/>
      <name val="Arial"/>
      <family val="2"/>
    </font>
    <font>
      <strike/>
      <sz val="10"/>
      <name val="Arial"/>
      <family val="2"/>
    </font>
    <font>
      <sz val="12"/>
      <name val="Arial"/>
      <family val="2"/>
    </font>
    <font>
      <sz val="12"/>
      <name val="Interstate-Regular"/>
    </font>
    <font>
      <sz val="11"/>
      <name val="Interstate-Regular"/>
    </font>
    <font>
      <sz val="10"/>
      <name val="Arial"/>
      <family val="2"/>
    </font>
    <font>
      <sz val="11"/>
      <color indexed="12"/>
      <name val="Interstate-Regular"/>
    </font>
    <font>
      <b/>
      <sz val="11"/>
      <color indexed="12"/>
      <name val="Interstate-Regular"/>
    </font>
    <font>
      <sz val="11"/>
      <color indexed="81"/>
      <name val="Tahoma"/>
      <family val="2"/>
    </font>
    <font>
      <b/>
      <sz val="8"/>
      <color indexed="8"/>
      <name val="Arial"/>
      <family val="2"/>
    </font>
    <font>
      <b/>
      <sz val="8"/>
      <name val="Arial"/>
      <family val="2"/>
    </font>
    <font>
      <b/>
      <i/>
      <sz val="8"/>
      <name val="Arial"/>
      <family val="2"/>
    </font>
    <font>
      <b/>
      <sz val="10"/>
      <color indexed="12"/>
      <name val="Arial"/>
      <family val="2"/>
    </font>
    <font>
      <sz val="11"/>
      <color indexed="10"/>
      <name val="Interstate-Regular"/>
    </font>
    <font>
      <sz val="12"/>
      <color indexed="10"/>
      <name val="Interstate-Regular"/>
    </font>
    <font>
      <b/>
      <sz val="11"/>
      <color indexed="10"/>
      <name val="Interstate-Regular"/>
    </font>
    <font>
      <sz val="8"/>
      <name val="Arial"/>
      <family val="2"/>
    </font>
    <font>
      <b/>
      <sz val="10"/>
      <color indexed="12"/>
      <name val="Arial"/>
      <family val="2"/>
    </font>
    <font>
      <sz val="8"/>
      <name val="Arial"/>
      <family val="2"/>
    </font>
    <font>
      <b/>
      <sz val="10"/>
      <color indexed="9"/>
      <name val="Arial"/>
      <family val="2"/>
    </font>
    <font>
      <sz val="8"/>
      <color indexed="81"/>
      <name val="Tahoma"/>
      <family val="2"/>
    </font>
    <font>
      <b/>
      <sz val="8"/>
      <color indexed="81"/>
      <name val="Tahoma"/>
      <family val="2"/>
    </font>
    <font>
      <sz val="12"/>
      <name val="Arial MT"/>
    </font>
    <font>
      <b/>
      <sz val="11"/>
      <name val="Arial"/>
      <family val="2"/>
    </font>
    <font>
      <b/>
      <u/>
      <sz val="10"/>
      <name val="Arial"/>
      <family val="2"/>
    </font>
    <font>
      <b/>
      <sz val="8"/>
      <color indexed="12"/>
      <name val="Arial"/>
      <family val="2"/>
    </font>
    <font>
      <sz val="10"/>
      <name val="Arial MT"/>
    </font>
    <font>
      <sz val="10"/>
      <name val="Arial"/>
      <family val="2"/>
    </font>
    <font>
      <sz val="10"/>
      <name val="Arial"/>
      <family val="2"/>
    </font>
    <font>
      <sz val="9"/>
      <color indexed="81"/>
      <name val="Tahoma"/>
      <family val="2"/>
    </font>
    <font>
      <sz val="10"/>
      <name val="Arial"/>
      <family val="2"/>
    </font>
    <font>
      <sz val="10"/>
      <name val="Arial"/>
      <family val="2"/>
    </font>
    <font>
      <b/>
      <sz val="10"/>
      <color indexed="12"/>
      <name val="Helv"/>
    </font>
    <font>
      <b/>
      <sz val="10"/>
      <color indexed="9"/>
      <name val="Helv"/>
    </font>
    <font>
      <sz val="10"/>
      <name val="Arial"/>
      <family val="2"/>
    </font>
    <font>
      <sz val="9"/>
      <color indexed="81"/>
      <name val="Tahoma"/>
      <family val="2"/>
    </font>
    <font>
      <b/>
      <sz val="9"/>
      <color indexed="81"/>
      <name val="Tahoma"/>
      <family val="2"/>
    </font>
    <font>
      <sz val="10"/>
      <name val="Arial"/>
      <family val="2"/>
    </font>
    <font>
      <sz val="9"/>
      <name val="Gotham Book"/>
      <family val="3"/>
    </font>
    <font>
      <sz val="10"/>
      <name val="Gotham Book"/>
      <family val="3"/>
    </font>
    <font>
      <b/>
      <sz val="16"/>
      <name val="Gotham Book"/>
      <family val="3"/>
    </font>
    <font>
      <b/>
      <sz val="18"/>
      <name val="Gotham Book"/>
      <family val="3"/>
    </font>
    <font>
      <sz val="8"/>
      <name val="Gotham Book"/>
      <family val="3"/>
    </font>
    <font>
      <sz val="11"/>
      <name val="Gotham Book"/>
      <family val="3"/>
    </font>
    <font>
      <i/>
      <sz val="9"/>
      <name val="Gotham Book"/>
      <family val="3"/>
    </font>
    <font>
      <sz val="18"/>
      <name val="Gotham Book"/>
      <family val="3"/>
    </font>
    <font>
      <sz val="12"/>
      <name val="Gotham Book"/>
      <family val="3"/>
    </font>
    <font>
      <i/>
      <sz val="12"/>
      <name val="Gotham Book"/>
      <family val="3"/>
    </font>
    <font>
      <b/>
      <sz val="12"/>
      <name val="Gotham Book"/>
      <family val="3"/>
    </font>
    <font>
      <sz val="11"/>
      <color theme="1"/>
      <name val="Calibri"/>
      <family val="2"/>
      <scheme val="minor"/>
    </font>
    <font>
      <u/>
      <sz val="10"/>
      <color theme="10"/>
      <name val="Arial"/>
      <family val="2"/>
    </font>
    <font>
      <b/>
      <sz val="10"/>
      <color theme="0"/>
      <name val="Arial"/>
      <family val="2"/>
    </font>
    <font>
      <sz val="18"/>
      <color rgb="FF69BE28"/>
      <name val="Gotham Book"/>
      <family val="3"/>
    </font>
    <font>
      <b/>
      <sz val="14"/>
      <color rgb="FF69BE28"/>
      <name val="Arial"/>
      <family val="2"/>
    </font>
    <font>
      <b/>
      <sz val="11"/>
      <color rgb="FF69BE28"/>
      <name val="Arial"/>
      <family val="2"/>
    </font>
    <font>
      <sz val="9"/>
      <color rgb="FF545962"/>
      <name val="Gotham Bold"/>
      <family val="3"/>
    </font>
    <font>
      <sz val="9"/>
      <color theme="1"/>
      <name val="Gotham Book"/>
      <family val="3"/>
    </font>
    <font>
      <sz val="9"/>
      <color rgb="FF000000"/>
      <name val="Gotham Book"/>
      <family val="3"/>
    </font>
    <font>
      <sz val="14"/>
      <color rgb="FF79BC43"/>
      <name val="Arial"/>
      <family val="2"/>
    </font>
    <font>
      <b/>
      <sz val="15"/>
      <color rgb="FF69BE28"/>
      <name val="Gotham Bold"/>
      <family val="3"/>
    </font>
    <font>
      <sz val="22"/>
      <color rgb="FF69BE28"/>
      <name val="Gotham Book"/>
      <family val="3"/>
    </font>
    <font>
      <b/>
      <sz val="22"/>
      <color rgb="FF79BC43"/>
      <name val="Gotham Bold"/>
      <family val="3"/>
    </font>
    <font>
      <sz val="11"/>
      <color theme="1"/>
      <name val="Gotham Book"/>
      <family val="3"/>
    </font>
    <font>
      <b/>
      <sz val="36"/>
      <color rgb="FF69BE28"/>
      <name val="Gotham Book"/>
      <family val="3"/>
    </font>
    <font>
      <sz val="12"/>
      <color rgb="FF000000"/>
      <name val="Gotham Book"/>
      <family val="3"/>
    </font>
    <font>
      <sz val="12"/>
      <color theme="1"/>
      <name val="Gotham Book"/>
      <family val="3"/>
    </font>
    <font>
      <b/>
      <sz val="12"/>
      <color rgb="FF69BE28"/>
      <name val="Arial"/>
      <family val="2"/>
    </font>
    <font>
      <sz val="12"/>
      <color rgb="FF545962"/>
      <name val="Gotham Bold"/>
      <family val="3"/>
    </font>
    <font>
      <sz val="11"/>
      <color rgb="FF545962"/>
      <name val="Gotham Bold"/>
      <family val="3"/>
    </font>
    <font>
      <b/>
      <sz val="15"/>
      <color rgb="FF79BC43"/>
      <name val="Gotham Bold"/>
      <family val="3"/>
    </font>
    <font>
      <sz val="12"/>
      <color rgb="FF545962"/>
      <name val="Gotham Book"/>
      <family val="3"/>
    </font>
  </fonts>
  <fills count="1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51"/>
        <bgColor indexed="8"/>
      </patternFill>
    </fill>
    <fill>
      <patternFill patternType="solid">
        <fgColor indexed="51"/>
        <bgColor indexed="64"/>
      </patternFill>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rgb="FFFFFF99"/>
        <bgColor indexed="64"/>
      </patternFill>
    </fill>
    <fill>
      <patternFill patternType="solid">
        <fgColor theme="0"/>
        <bgColor indexed="64"/>
      </patternFill>
    </fill>
    <fill>
      <patternFill patternType="solid">
        <fgColor rgb="FF007299"/>
        <bgColor indexed="64"/>
      </patternFill>
    </fill>
    <fill>
      <patternFill patternType="solid">
        <fgColor rgb="FFFFFFFF"/>
        <bgColor indexed="64"/>
      </patternFill>
    </fill>
    <fill>
      <patternFill patternType="solid">
        <fgColor theme="0" tint="-0.14999847407452621"/>
        <bgColor indexed="64"/>
      </patternFill>
    </fill>
  </fills>
  <borders count="108">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double">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bottom style="double">
        <color indexed="64"/>
      </bottom>
      <diagonal/>
    </border>
    <border>
      <left style="double">
        <color indexed="64"/>
      </left>
      <right/>
      <top/>
      <bottom/>
      <diagonal/>
    </border>
    <border>
      <left style="double">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theme="0" tint="-0.14999847407452621"/>
      </left>
      <right/>
      <top/>
      <bottom/>
      <diagonal/>
    </border>
    <border>
      <left style="thin">
        <color theme="0" tint="-0.14999847407452621"/>
      </left>
      <right/>
      <top/>
      <bottom style="thin">
        <color indexed="64"/>
      </bottom>
      <diagonal/>
    </border>
    <border>
      <left/>
      <right/>
      <top/>
      <bottom style="thick">
        <color rgb="FF79BC43"/>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indexed="64"/>
      </right>
      <top/>
      <bottom style="thin">
        <color theme="0" tint="-0.14999847407452621"/>
      </bottom>
      <diagonal/>
    </border>
    <border>
      <left style="thin">
        <color indexed="64"/>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bottom style="thin">
        <color theme="0" tint="-0.14999847407452621"/>
      </bottom>
      <diagonal/>
    </border>
    <border>
      <left style="medium">
        <color indexed="64"/>
      </left>
      <right/>
      <top/>
      <bottom style="thin">
        <color theme="0" tint="-0.14999847407452621"/>
      </bottom>
      <diagonal/>
    </border>
    <border>
      <left/>
      <right style="thin">
        <color theme="0" tint="-0.14999847407452621"/>
      </right>
      <top/>
      <bottom style="thin">
        <color indexed="64"/>
      </bottom>
      <diagonal/>
    </border>
    <border>
      <left style="thin">
        <color indexed="64"/>
      </left>
      <right/>
      <top style="medium">
        <color indexed="64"/>
      </top>
      <bottom style="thin">
        <color theme="0" tint="-0.14999847407452621"/>
      </bottom>
      <diagonal/>
    </border>
    <border>
      <left/>
      <right/>
      <top style="medium">
        <color indexed="64"/>
      </top>
      <bottom style="thin">
        <color theme="0" tint="-0.14999847407452621"/>
      </bottom>
      <diagonal/>
    </border>
    <border>
      <left/>
      <right style="thin">
        <color indexed="64"/>
      </right>
      <top style="medium">
        <color indexed="64"/>
      </top>
      <bottom style="thin">
        <color theme="0" tint="-0.14999847407452621"/>
      </bottom>
      <diagonal/>
    </border>
    <border>
      <left style="medium">
        <color indexed="64"/>
      </left>
      <right/>
      <top style="thin">
        <color theme="0" tint="-0.14999847407452621"/>
      </top>
      <bottom style="thin">
        <color theme="0" tint="-0.14999847407452621"/>
      </bottom>
      <diagonal/>
    </border>
    <border>
      <left style="thin">
        <color theme="0" tint="-0.14999847407452621"/>
      </left>
      <right/>
      <top style="thin">
        <color indexed="64"/>
      </top>
      <bottom style="thin">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indexed="64"/>
      </right>
      <top style="thin">
        <color theme="0" tint="-0.14999847407452621"/>
      </top>
      <bottom/>
      <diagonal/>
    </border>
    <border>
      <left style="thin">
        <color theme="0" tint="-0.14999847407452621"/>
      </left>
      <right/>
      <top style="thin">
        <color indexed="64"/>
      </top>
      <bottom/>
      <diagonal/>
    </border>
    <border>
      <left style="thin">
        <color indexed="64"/>
      </left>
      <right/>
      <top style="thin">
        <color theme="0" tint="-0.14999847407452621"/>
      </top>
      <bottom style="medium">
        <color indexed="64"/>
      </bottom>
      <diagonal/>
    </border>
    <border>
      <left/>
      <right/>
      <top style="thin">
        <color theme="0" tint="-0.14999847407452621"/>
      </top>
      <bottom style="medium">
        <color indexed="64"/>
      </bottom>
      <diagonal/>
    </border>
    <border>
      <left/>
      <right style="thin">
        <color indexed="64"/>
      </right>
      <top style="thin">
        <color theme="0" tint="-0.14999847407452621"/>
      </top>
      <bottom style="medium">
        <color indexed="64"/>
      </bottom>
      <diagonal/>
    </border>
  </borders>
  <cellStyleXfs count="191">
    <xf numFmtId="0" fontId="0" fillId="0" borderId="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6" fillId="0" borderId="0" applyFont="0" applyFill="0" applyBorder="0" applyAlignment="0" applyProtection="0"/>
    <xf numFmtId="171" fontId="4" fillId="0" borderId="0" applyFont="0" applyFill="0" applyBorder="0" applyAlignment="0" applyProtection="0"/>
    <xf numFmtId="171" fontId="46" fillId="0" borderId="0" applyFont="0" applyFill="0" applyBorder="0" applyAlignment="0" applyProtection="0"/>
    <xf numFmtId="171" fontId="4" fillId="0" borderId="0" applyFont="0" applyFill="0" applyBorder="0" applyAlignment="0" applyProtection="0"/>
    <xf numFmtId="171" fontId="49" fillId="0" borderId="0" applyFont="0" applyFill="0" applyBorder="0" applyAlignment="0" applyProtection="0"/>
    <xf numFmtId="171" fontId="4" fillId="0" borderId="0" applyFont="0" applyFill="0" applyBorder="0" applyAlignment="0" applyProtection="0"/>
    <xf numFmtId="171" fontId="17"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3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39" fillId="0" borderId="0" applyFont="0" applyFill="0" applyBorder="0" applyAlignment="0" applyProtection="0"/>
    <xf numFmtId="171" fontId="4" fillId="0" borderId="0" applyFont="0" applyFill="0" applyBorder="0" applyAlignment="0" applyProtection="0"/>
    <xf numFmtId="171" fontId="40" fillId="0" borderId="0" applyFont="0" applyFill="0" applyBorder="0" applyAlignment="0" applyProtection="0"/>
    <xf numFmtId="171" fontId="4" fillId="0" borderId="0" applyFont="0" applyFill="0" applyBorder="0" applyAlignment="0" applyProtection="0"/>
    <xf numFmtId="171" fontId="42" fillId="0" borderId="0" applyFont="0" applyFill="0" applyBorder="0" applyAlignment="0" applyProtection="0"/>
    <xf numFmtId="171" fontId="4" fillId="0" borderId="0" applyFont="0" applyFill="0" applyBorder="0" applyAlignment="0" applyProtection="0"/>
    <xf numFmtId="171" fontId="61" fillId="0" borderId="0" applyFont="0" applyFill="0" applyBorder="0" applyAlignment="0" applyProtection="0"/>
    <xf numFmtId="171" fontId="4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70" fontId="4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6" fillId="0" borderId="0" applyFont="0" applyFill="0" applyBorder="0" applyAlignment="0" applyProtection="0"/>
    <xf numFmtId="170" fontId="4" fillId="0" borderId="0" applyFont="0" applyFill="0" applyBorder="0" applyAlignment="0" applyProtection="0"/>
    <xf numFmtId="170" fontId="46" fillId="0" borderId="0" applyFont="0" applyFill="0" applyBorder="0" applyAlignment="0" applyProtection="0"/>
    <xf numFmtId="170" fontId="4" fillId="0" borderId="0" applyFont="0" applyFill="0" applyBorder="0" applyAlignment="0" applyProtection="0"/>
    <xf numFmtId="170" fontId="49" fillId="0" borderId="0" applyFont="0" applyFill="0" applyBorder="0" applyAlignment="0" applyProtection="0"/>
    <xf numFmtId="170" fontId="17"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9" fillId="0" borderId="0" applyFont="0" applyFill="0" applyBorder="0" applyAlignment="0" applyProtection="0"/>
    <xf numFmtId="170" fontId="4" fillId="0" borderId="0" applyFont="0" applyFill="0" applyBorder="0" applyAlignment="0" applyProtection="0"/>
    <xf numFmtId="170" fontId="39" fillId="0" borderId="0" applyFont="0" applyFill="0" applyBorder="0" applyAlignment="0" applyProtection="0"/>
    <xf numFmtId="170" fontId="4" fillId="0" borderId="0" applyFont="0" applyFill="0" applyBorder="0" applyAlignment="0" applyProtection="0"/>
    <xf numFmtId="170" fontId="40" fillId="0" borderId="0" applyFont="0" applyFill="0" applyBorder="0" applyAlignment="0" applyProtection="0"/>
    <xf numFmtId="170" fontId="4" fillId="0" borderId="0" applyFont="0" applyFill="0" applyBorder="0" applyAlignment="0" applyProtection="0"/>
    <xf numFmtId="170" fontId="4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61" fillId="0" borderId="0" applyFont="0" applyFill="0" applyBorder="0" applyAlignment="0" applyProtection="0"/>
    <xf numFmtId="170" fontId="4" fillId="0" borderId="0" applyFont="0" applyFill="0" applyBorder="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4" fillId="0" borderId="0"/>
    <xf numFmtId="0" fontId="4" fillId="0" borderId="0"/>
    <xf numFmtId="0" fontId="4" fillId="0" borderId="0"/>
    <xf numFmtId="0" fontId="1" fillId="0" borderId="0"/>
    <xf numFmtId="0" fontId="4" fillId="0" borderId="0"/>
    <xf numFmtId="0" fontId="46" fillId="0" borderId="0"/>
    <xf numFmtId="0" fontId="4" fillId="0" borderId="0"/>
    <xf numFmtId="0" fontId="46" fillId="0" borderId="0"/>
    <xf numFmtId="0" fontId="4" fillId="0" borderId="0"/>
    <xf numFmtId="0" fontId="49" fillId="0" borderId="0"/>
    <xf numFmtId="0" fontId="4" fillId="0" borderId="0"/>
    <xf numFmtId="0" fontId="39" fillId="0" borderId="0"/>
    <xf numFmtId="0" fontId="4" fillId="0" borderId="0"/>
    <xf numFmtId="0" fontId="39" fillId="0" borderId="0"/>
    <xf numFmtId="0" fontId="4" fillId="0" borderId="0"/>
    <xf numFmtId="0" fontId="40" fillId="0" borderId="0"/>
    <xf numFmtId="0" fontId="4" fillId="0" borderId="0"/>
    <xf numFmtId="0" fontId="42"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6" fillId="0" borderId="0"/>
    <xf numFmtId="0" fontId="4" fillId="0" borderId="0"/>
    <xf numFmtId="0" fontId="46" fillId="0" borderId="0"/>
    <xf numFmtId="0" fontId="4" fillId="0" borderId="0"/>
    <xf numFmtId="0" fontId="49" fillId="0" borderId="0"/>
    <xf numFmtId="0" fontId="4" fillId="0" borderId="0"/>
    <xf numFmtId="0" fontId="39" fillId="0" borderId="0"/>
    <xf numFmtId="0" fontId="4" fillId="0" borderId="0"/>
    <xf numFmtId="0" fontId="39" fillId="0" borderId="0"/>
    <xf numFmtId="0" fontId="4" fillId="0" borderId="0"/>
    <xf numFmtId="0" fontId="40" fillId="0" borderId="0"/>
    <xf numFmtId="0" fontId="4" fillId="0" borderId="0"/>
    <xf numFmtId="0" fontId="42"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6" fillId="0" borderId="0"/>
    <xf numFmtId="0" fontId="4" fillId="0" borderId="0"/>
    <xf numFmtId="0" fontId="46" fillId="0" borderId="0"/>
    <xf numFmtId="0" fontId="4" fillId="0" borderId="0"/>
    <xf numFmtId="0" fontId="49" fillId="0" borderId="0"/>
    <xf numFmtId="0" fontId="4" fillId="0" borderId="0"/>
    <xf numFmtId="0" fontId="39" fillId="0" borderId="0"/>
    <xf numFmtId="0" fontId="4" fillId="0" borderId="0"/>
    <xf numFmtId="0" fontId="39" fillId="0" borderId="0"/>
    <xf numFmtId="0" fontId="4" fillId="0" borderId="0"/>
    <xf numFmtId="0" fontId="40" fillId="0" borderId="0"/>
    <xf numFmtId="0" fontId="4" fillId="0" borderId="0"/>
    <xf numFmtId="0" fontId="42"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6" fillId="0" borderId="0"/>
    <xf numFmtId="0" fontId="4" fillId="0" borderId="0"/>
    <xf numFmtId="0" fontId="46" fillId="0" borderId="0"/>
    <xf numFmtId="0" fontId="4" fillId="0" borderId="0"/>
    <xf numFmtId="0" fontId="49" fillId="0" borderId="0"/>
    <xf numFmtId="0" fontId="4" fillId="0" borderId="0"/>
    <xf numFmtId="0" fontId="39" fillId="0" borderId="0"/>
    <xf numFmtId="0" fontId="4" fillId="0" borderId="0"/>
    <xf numFmtId="0" fontId="39" fillId="0" borderId="0"/>
    <xf numFmtId="0" fontId="4" fillId="0" borderId="0"/>
    <xf numFmtId="0" fontId="40" fillId="0" borderId="0"/>
    <xf numFmtId="0" fontId="4" fillId="0" borderId="0"/>
    <xf numFmtId="0" fontId="42"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4" fillId="0" borderId="0"/>
    <xf numFmtId="0" fontId="61" fillId="0" borderId="0"/>
    <xf numFmtId="172" fontId="34" fillId="0" borderId="0"/>
    <xf numFmtId="164" fontId="14" fillId="0" borderId="0"/>
    <xf numFmtId="9" fontId="4"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672">
    <xf numFmtId="0" fontId="0" fillId="0" borderId="0" xfId="0"/>
    <xf numFmtId="0" fontId="4" fillId="0" borderId="0" xfId="0" applyFont="1"/>
    <xf numFmtId="0" fontId="4" fillId="0" borderId="0" xfId="0" applyFont="1" applyBorder="1"/>
    <xf numFmtId="0" fontId="0" fillId="0" borderId="0" xfId="0" applyBorder="1"/>
    <xf numFmtId="0" fontId="5" fillId="0" borderId="0" xfId="0" applyFont="1"/>
    <xf numFmtId="0" fontId="4" fillId="0" borderId="0" xfId="66"/>
    <xf numFmtId="0" fontId="4" fillId="0" borderId="0" xfId="66" applyFont="1"/>
    <xf numFmtId="0" fontId="5" fillId="0" borderId="0" xfId="66" applyFont="1"/>
    <xf numFmtId="0" fontId="4" fillId="0" borderId="0" xfId="66" applyFill="1"/>
    <xf numFmtId="0" fontId="4" fillId="0" borderId="0" xfId="66" applyBorder="1"/>
    <xf numFmtId="0" fontId="4" fillId="0" borderId="0" xfId="66" applyAlignment="1">
      <alignment horizontal="center"/>
    </xf>
    <xf numFmtId="164" fontId="15" fillId="0" borderId="0" xfId="168" applyFont="1" applyProtection="1"/>
    <xf numFmtId="164" fontId="15" fillId="0" borderId="0" xfId="168" applyFont="1" applyFill="1" applyBorder="1" applyProtection="1"/>
    <xf numFmtId="164" fontId="16" fillId="2" borderId="1" xfId="168" applyFont="1" applyFill="1" applyBorder="1" applyProtection="1"/>
    <xf numFmtId="0" fontId="16" fillId="2" borderId="2" xfId="0" applyFont="1" applyFill="1" applyBorder="1" applyAlignment="1" applyProtection="1">
      <alignment horizontal="right" wrapText="1"/>
    </xf>
    <xf numFmtId="164" fontId="16" fillId="0" borderId="3" xfId="168" applyFont="1" applyBorder="1" applyAlignment="1" applyProtection="1"/>
    <xf numFmtId="10" fontId="16" fillId="0" borderId="4" xfId="175" applyNumberFormat="1" applyFont="1" applyFill="1" applyBorder="1" applyProtection="1"/>
    <xf numFmtId="164" fontId="16" fillId="0" borderId="5" xfId="168" applyFont="1" applyBorder="1" applyAlignment="1" applyProtection="1"/>
    <xf numFmtId="164" fontId="15" fillId="0" borderId="6" xfId="168" applyFont="1" applyFill="1" applyBorder="1" applyProtection="1"/>
    <xf numFmtId="164" fontId="16" fillId="3" borderId="7" xfId="168" applyFont="1" applyFill="1" applyBorder="1" applyAlignment="1" applyProtection="1">
      <alignment wrapText="1"/>
    </xf>
    <xf numFmtId="1" fontId="19" fillId="0" borderId="6" xfId="46" applyNumberFormat="1" applyFont="1" applyFill="1" applyBorder="1" applyProtection="1"/>
    <xf numFmtId="10" fontId="16" fillId="0" borderId="8" xfId="175" applyNumberFormat="1" applyFont="1" applyFill="1" applyBorder="1" applyProtection="1"/>
    <xf numFmtId="164" fontId="16" fillId="0" borderId="6" xfId="46" applyNumberFormat="1" applyFont="1" applyFill="1" applyBorder="1" applyProtection="1"/>
    <xf numFmtId="164" fontId="16" fillId="3" borderId="2" xfId="168" applyFont="1" applyFill="1" applyBorder="1" applyAlignment="1" applyProtection="1">
      <alignment wrapText="1"/>
    </xf>
    <xf numFmtId="164" fontId="15" fillId="0" borderId="9" xfId="168" applyFont="1" applyFill="1" applyBorder="1" applyProtection="1"/>
    <xf numFmtId="164" fontId="16" fillId="2" borderId="10" xfId="168" applyFont="1" applyFill="1" applyBorder="1" applyProtection="1"/>
    <xf numFmtId="0" fontId="16" fillId="2" borderId="11" xfId="0" applyFont="1" applyFill="1" applyBorder="1" applyProtection="1"/>
    <xf numFmtId="2" fontId="15" fillId="0" borderId="0" xfId="168" applyNumberFormat="1" applyFont="1" applyFill="1" applyBorder="1" applyProtection="1"/>
    <xf numFmtId="164" fontId="26" fillId="2" borderId="1" xfId="168" applyFont="1" applyFill="1" applyBorder="1" applyProtection="1"/>
    <xf numFmtId="164" fontId="25" fillId="3" borderId="12" xfId="46" applyNumberFormat="1" applyFont="1" applyFill="1" applyBorder="1" applyProtection="1"/>
    <xf numFmtId="164" fontId="26" fillId="0" borderId="0" xfId="168" applyFont="1" applyProtection="1"/>
    <xf numFmtId="0" fontId="16" fillId="0" borderId="0" xfId="0" applyFont="1" applyFill="1" applyBorder="1" applyProtection="1"/>
    <xf numFmtId="164" fontId="26" fillId="0" borderId="0" xfId="168" applyFont="1" applyFill="1" applyBorder="1" applyProtection="1"/>
    <xf numFmtId="164" fontId="27" fillId="4" borderId="8" xfId="168" applyFont="1" applyFill="1" applyBorder="1" applyAlignment="1" applyProtection="1">
      <alignment horizontal="center" wrapText="1"/>
    </xf>
    <xf numFmtId="164" fontId="27" fillId="4" borderId="8" xfId="168" applyFont="1" applyFill="1" applyBorder="1" applyAlignment="1" applyProtection="1">
      <alignment horizontal="right" wrapText="1"/>
    </xf>
    <xf numFmtId="0" fontId="27" fillId="0" borderId="8" xfId="168" applyNumberFormat="1" applyFont="1" applyBorder="1" applyAlignment="1" applyProtection="1">
      <alignment horizontal="center"/>
    </xf>
    <xf numFmtId="164" fontId="27" fillId="3" borderId="8" xfId="168" applyFont="1" applyFill="1" applyBorder="1" applyAlignment="1" applyProtection="1">
      <alignment horizontal="right" wrapText="1"/>
    </xf>
    <xf numFmtId="0" fontId="22" fillId="0" borderId="0" xfId="66" applyFont="1" applyAlignment="1">
      <alignment horizontal="center"/>
    </xf>
    <xf numFmtId="0" fontId="22" fillId="0" borderId="13" xfId="66" applyFont="1" applyBorder="1" applyAlignment="1">
      <alignment horizontal="center"/>
    </xf>
    <xf numFmtId="0" fontId="22" fillId="0" borderId="14" xfId="66" applyFont="1" applyBorder="1" applyAlignment="1">
      <alignment horizontal="center"/>
    </xf>
    <xf numFmtId="0" fontId="22" fillId="0" borderId="15" xfId="66" applyFont="1" applyBorder="1" applyAlignment="1"/>
    <xf numFmtId="0" fontId="21" fillId="0" borderId="14" xfId="66" applyFont="1" applyFill="1" applyBorder="1" applyAlignment="1">
      <alignment horizontal="center" wrapText="1"/>
    </xf>
    <xf numFmtId="0" fontId="23" fillId="0" borderId="15" xfId="66" applyFont="1" applyBorder="1" applyAlignment="1"/>
    <xf numFmtId="0" fontId="22" fillId="0" borderId="15" xfId="66" applyFont="1" applyBorder="1" applyAlignment="1">
      <alignment horizontal="center"/>
    </xf>
    <xf numFmtId="0" fontId="22" fillId="0" borderId="16" xfId="66" applyFont="1" applyBorder="1" applyAlignment="1">
      <alignment horizontal="center"/>
    </xf>
    <xf numFmtId="0" fontId="21" fillId="0" borderId="16" xfId="66" applyFont="1" applyFill="1" applyBorder="1" applyAlignment="1">
      <alignment horizontal="center" wrapText="1"/>
    </xf>
    <xf numFmtId="177" fontId="21" fillId="0" borderId="17" xfId="66" applyNumberFormat="1" applyFont="1" applyFill="1" applyBorder="1" applyAlignment="1">
      <alignment horizontal="center" wrapText="1"/>
    </xf>
    <xf numFmtId="177" fontId="22" fillId="0" borderId="17" xfId="66" applyNumberFormat="1" applyFont="1" applyBorder="1" applyAlignment="1">
      <alignment horizontal="center"/>
    </xf>
    <xf numFmtId="0" fontId="22" fillId="0" borderId="18" xfId="66" applyFont="1" applyBorder="1" applyAlignment="1">
      <alignment horizontal="center"/>
    </xf>
    <xf numFmtId="0" fontId="22" fillId="0" borderId="19" xfId="66" applyFont="1" applyBorder="1" applyAlignment="1">
      <alignment horizontal="center"/>
    </xf>
    <xf numFmtId="177" fontId="4" fillId="0" borderId="0" xfId="66" applyNumberFormat="1"/>
    <xf numFmtId="0" fontId="4" fillId="0" borderId="14" xfId="66" applyBorder="1" applyAlignment="1">
      <alignment horizontal="center"/>
    </xf>
    <xf numFmtId="167" fontId="4" fillId="0" borderId="0" xfId="66" applyNumberFormat="1" applyFont="1" applyBorder="1"/>
    <xf numFmtId="167" fontId="4" fillId="0" borderId="16" xfId="66" applyNumberFormat="1" applyFont="1" applyBorder="1"/>
    <xf numFmtId="167" fontId="4" fillId="0" borderId="20" xfId="66" applyNumberFormat="1" applyFont="1" applyBorder="1"/>
    <xf numFmtId="177" fontId="4" fillId="0" borderId="21" xfId="66" applyNumberFormat="1" applyFont="1" applyBorder="1"/>
    <xf numFmtId="0" fontId="4" fillId="0" borderId="16" xfId="66" applyBorder="1"/>
    <xf numFmtId="177" fontId="4" fillId="0" borderId="17" xfId="66" applyNumberFormat="1" applyBorder="1"/>
    <xf numFmtId="167" fontId="4" fillId="0" borderId="22" xfId="66" applyNumberFormat="1" applyFont="1" applyBorder="1"/>
    <xf numFmtId="10" fontId="16" fillId="0" borderId="23" xfId="175" applyNumberFormat="1" applyFont="1" applyFill="1" applyBorder="1" applyAlignment="1" applyProtection="1">
      <alignment horizontal="center"/>
    </xf>
    <xf numFmtId="164" fontId="27" fillId="3" borderId="8" xfId="168" applyFont="1" applyFill="1" applyBorder="1" applyAlignment="1" applyProtection="1">
      <alignment horizontal="center" wrapText="1"/>
    </xf>
    <xf numFmtId="164" fontId="16" fillId="2" borderId="1" xfId="168" applyFont="1" applyFill="1" applyBorder="1" applyAlignment="1" applyProtection="1">
      <alignment horizontal="center"/>
    </xf>
    <xf numFmtId="164" fontId="16" fillId="0" borderId="3" xfId="168" applyFont="1" applyBorder="1" applyAlignment="1" applyProtection="1">
      <alignment horizontal="center"/>
    </xf>
    <xf numFmtId="164" fontId="16" fillId="0" borderId="5" xfId="168" applyFont="1" applyBorder="1" applyAlignment="1" applyProtection="1">
      <alignment horizontal="center"/>
    </xf>
    <xf numFmtId="164" fontId="16" fillId="3" borderId="7" xfId="168" applyFont="1" applyFill="1" applyBorder="1" applyAlignment="1" applyProtection="1">
      <alignment horizontal="center" wrapText="1"/>
    </xf>
    <xf numFmtId="0" fontId="4" fillId="0" borderId="0" xfId="66" applyFont="1" applyAlignment="1">
      <alignment horizontal="left"/>
    </xf>
    <xf numFmtId="0" fontId="21" fillId="5" borderId="0" xfId="66" applyFont="1" applyFill="1" applyBorder="1" applyAlignment="1">
      <alignment horizontal="center" wrapText="1"/>
    </xf>
    <xf numFmtId="0" fontId="21" fillId="5" borderId="14" xfId="66" applyFont="1" applyFill="1" applyBorder="1" applyAlignment="1">
      <alignment horizontal="center" wrapText="1"/>
    </xf>
    <xf numFmtId="0" fontId="21" fillId="5" borderId="24" xfId="66" applyFont="1" applyFill="1" applyBorder="1" applyAlignment="1">
      <alignment horizontal="center" wrapText="1"/>
    </xf>
    <xf numFmtId="0" fontId="22" fillId="5" borderId="14" xfId="66" applyFont="1" applyFill="1" applyBorder="1" applyAlignment="1">
      <alignment horizontal="center"/>
    </xf>
    <xf numFmtId="0" fontId="22" fillId="5" borderId="24" xfId="66" applyFont="1" applyFill="1" applyBorder="1" applyAlignment="1">
      <alignment horizontal="center"/>
    </xf>
    <xf numFmtId="0" fontId="4" fillId="5" borderId="14" xfId="66" applyFill="1" applyBorder="1"/>
    <xf numFmtId="0" fontId="4" fillId="5" borderId="24" xfId="66" applyFill="1" applyBorder="1"/>
    <xf numFmtId="167" fontId="4" fillId="5" borderId="14" xfId="66" applyNumberFormat="1" applyFont="1" applyFill="1" applyBorder="1"/>
    <xf numFmtId="167" fontId="4" fillId="5" borderId="25" xfId="66" applyNumberFormat="1" applyFont="1" applyFill="1" applyBorder="1"/>
    <xf numFmtId="167" fontId="4" fillId="5" borderId="18" xfId="66" applyNumberFormat="1" applyFont="1" applyFill="1" applyBorder="1"/>
    <xf numFmtId="167" fontId="4" fillId="5" borderId="26" xfId="66" applyNumberFormat="1" applyFont="1" applyFill="1" applyBorder="1"/>
    <xf numFmtId="0" fontId="22" fillId="5" borderId="0" xfId="66" applyFont="1" applyFill="1" applyBorder="1" applyAlignment="1">
      <alignment horizontal="center"/>
    </xf>
    <xf numFmtId="0" fontId="4" fillId="5" borderId="0" xfId="66" applyFill="1" applyBorder="1"/>
    <xf numFmtId="167" fontId="4" fillId="5" borderId="0" xfId="66" applyNumberFormat="1" applyFont="1" applyFill="1" applyBorder="1"/>
    <xf numFmtId="167" fontId="4" fillId="5" borderId="20" xfId="66" applyNumberFormat="1" applyFont="1" applyFill="1" applyBorder="1"/>
    <xf numFmtId="177" fontId="4" fillId="0" borderId="17" xfId="66" applyNumberFormat="1" applyFont="1" applyBorder="1"/>
    <xf numFmtId="0" fontId="5" fillId="0" borderId="0" xfId="0" applyFont="1" applyBorder="1"/>
    <xf numFmtId="0" fontId="4" fillId="0" borderId="0" xfId="0" applyFont="1" applyProtection="1">
      <protection hidden="1"/>
    </xf>
    <xf numFmtId="167" fontId="4" fillId="5" borderId="27" xfId="66" applyNumberFormat="1" applyFont="1" applyFill="1" applyBorder="1"/>
    <xf numFmtId="167" fontId="4" fillId="0" borderId="27" xfId="66" applyNumberFormat="1" applyFont="1" applyBorder="1"/>
    <xf numFmtId="167" fontId="4" fillId="0" borderId="25" xfId="66" applyNumberFormat="1" applyFont="1" applyBorder="1"/>
    <xf numFmtId="167" fontId="4" fillId="5" borderId="28" xfId="66" applyNumberFormat="1" applyFont="1" applyFill="1" applyBorder="1"/>
    <xf numFmtId="177" fontId="4" fillId="0" borderId="29" xfId="66" applyNumberFormat="1" applyFont="1" applyBorder="1"/>
    <xf numFmtId="167" fontId="4" fillId="5" borderId="30" xfId="66" applyNumberFormat="1" applyFont="1" applyFill="1" applyBorder="1"/>
    <xf numFmtId="177" fontId="4" fillId="0" borderId="31" xfId="66" applyNumberFormat="1" applyFont="1" applyBorder="1"/>
    <xf numFmtId="0" fontId="8" fillId="0" borderId="14" xfId="66" applyFont="1" applyFill="1" applyBorder="1" applyAlignment="1">
      <alignment horizontal="center"/>
    </xf>
    <xf numFmtId="164" fontId="25" fillId="0" borderId="0" xfId="168" applyFont="1" applyFill="1" applyBorder="1" applyProtection="1"/>
    <xf numFmtId="0" fontId="5" fillId="0" borderId="0" xfId="66" applyFont="1" applyAlignment="1">
      <alignment horizontal="left"/>
    </xf>
    <xf numFmtId="0" fontId="3" fillId="0" borderId="0" xfId="66" applyFont="1" applyBorder="1" applyAlignment="1">
      <alignment horizontal="left"/>
    </xf>
    <xf numFmtId="0" fontId="35" fillId="0" borderId="0" xfId="0" applyFont="1" applyBorder="1"/>
    <xf numFmtId="0" fontId="5" fillId="0" borderId="0" xfId="66" applyFont="1" applyBorder="1"/>
    <xf numFmtId="0" fontId="5" fillId="0" borderId="0" xfId="66" applyFont="1" applyBorder="1" applyAlignment="1">
      <alignment horizontal="left"/>
    </xf>
    <xf numFmtId="183" fontId="5" fillId="0" borderId="0" xfId="66" applyNumberFormat="1" applyFont="1" applyBorder="1" applyAlignment="1">
      <alignment horizontal="left"/>
    </xf>
    <xf numFmtId="0" fontId="5" fillId="0" borderId="20" xfId="66" applyFont="1" applyBorder="1" applyAlignment="1">
      <alignment horizontal="left"/>
    </xf>
    <xf numFmtId="183" fontId="5" fillId="0" borderId="20" xfId="66" applyNumberFormat="1" applyFont="1" applyBorder="1" applyAlignment="1">
      <alignment horizontal="left"/>
    </xf>
    <xf numFmtId="164" fontId="14" fillId="0" borderId="0" xfId="168" applyFont="1"/>
    <xf numFmtId="164" fontId="14" fillId="0" borderId="0" xfId="168" applyFont="1" applyFill="1" applyBorder="1"/>
    <xf numFmtId="164" fontId="14" fillId="0" borderId="20" xfId="168" applyFont="1" applyBorder="1"/>
    <xf numFmtId="164" fontId="14" fillId="0" borderId="20" xfId="168" applyFont="1" applyFill="1" applyBorder="1"/>
    <xf numFmtId="164" fontId="14" fillId="0" borderId="0" xfId="168" applyFont="1" applyBorder="1"/>
    <xf numFmtId="0" fontId="36" fillId="0" borderId="0" xfId="66" applyFont="1" applyAlignment="1">
      <alignment horizontal="left"/>
    </xf>
    <xf numFmtId="0" fontId="5" fillId="0" borderId="15" xfId="66" applyFont="1" applyBorder="1" applyAlignment="1">
      <alignment horizontal="center"/>
    </xf>
    <xf numFmtId="0" fontId="4" fillId="0" borderId="19" xfId="66" applyBorder="1"/>
    <xf numFmtId="0" fontId="5" fillId="0" borderId="13" xfId="66" applyFont="1" applyBorder="1" applyAlignment="1">
      <alignment horizontal="center"/>
    </xf>
    <xf numFmtId="0" fontId="5" fillId="0" borderId="32" xfId="66" applyFont="1" applyBorder="1" applyAlignment="1">
      <alignment horizontal="center"/>
    </xf>
    <xf numFmtId="0" fontId="5" fillId="0" borderId="33" xfId="66" applyFont="1" applyBorder="1" applyAlignment="1">
      <alignment horizontal="center"/>
    </xf>
    <xf numFmtId="0" fontId="4" fillId="0" borderId="34" xfId="66" applyBorder="1"/>
    <xf numFmtId="0" fontId="5" fillId="0" borderId="35" xfId="66" applyFont="1" applyFill="1" applyBorder="1" applyAlignment="1">
      <alignment horizontal="center"/>
    </xf>
    <xf numFmtId="0" fontId="4" fillId="0" borderId="33" xfId="66" applyBorder="1"/>
    <xf numFmtId="174" fontId="4" fillId="0" borderId="35" xfId="66" applyNumberFormat="1" applyBorder="1" applyAlignment="1">
      <alignment horizontal="center"/>
    </xf>
    <xf numFmtId="167" fontId="4" fillId="0" borderId="33" xfId="66" applyNumberFormat="1" applyBorder="1" applyAlignment="1">
      <alignment horizontal="center"/>
    </xf>
    <xf numFmtId="174" fontId="4" fillId="0" borderId="36" xfId="66" applyNumberFormat="1" applyBorder="1" applyAlignment="1">
      <alignment horizontal="center"/>
    </xf>
    <xf numFmtId="167" fontId="4" fillId="0" borderId="32" xfId="66" applyNumberFormat="1" applyBorder="1" applyAlignment="1">
      <alignment horizontal="center"/>
    </xf>
    <xf numFmtId="167" fontId="4" fillId="0" borderId="35" xfId="66" applyNumberFormat="1" applyBorder="1" applyAlignment="1">
      <alignment horizontal="center"/>
    </xf>
    <xf numFmtId="0" fontId="4" fillId="0" borderId="37" xfId="66" applyBorder="1"/>
    <xf numFmtId="0" fontId="4" fillId="0" borderId="35" xfId="66" applyBorder="1"/>
    <xf numFmtId="166" fontId="0" fillId="0" borderId="35" xfId="49" applyNumberFormat="1" applyFont="1" applyFill="1" applyBorder="1" applyAlignment="1">
      <alignment horizontal="center"/>
    </xf>
    <xf numFmtId="0" fontId="4" fillId="0" borderId="36" xfId="66" applyBorder="1"/>
    <xf numFmtId="0" fontId="4" fillId="0" borderId="32" xfId="66" applyBorder="1"/>
    <xf numFmtId="166" fontId="4" fillId="0" borderId="35" xfId="66" applyNumberFormat="1" applyBorder="1" applyAlignment="1">
      <alignment horizontal="center"/>
    </xf>
    <xf numFmtId="166" fontId="4" fillId="0" borderId="33" xfId="66" applyNumberFormat="1" applyBorder="1" applyAlignment="1">
      <alignment horizontal="center"/>
    </xf>
    <xf numFmtId="166" fontId="4" fillId="0" borderId="33" xfId="66" applyNumberFormat="1" applyFill="1" applyBorder="1" applyAlignment="1">
      <alignment horizontal="center"/>
    </xf>
    <xf numFmtId="166" fontId="4" fillId="0" borderId="35" xfId="66" applyNumberFormat="1" applyFill="1" applyBorder="1" applyAlignment="1">
      <alignment horizontal="center"/>
    </xf>
    <xf numFmtId="0" fontId="37" fillId="5" borderId="17" xfId="66" applyFont="1" applyFill="1" applyBorder="1" applyAlignment="1">
      <alignment horizontal="center" vertical="center" wrapText="1"/>
    </xf>
    <xf numFmtId="166" fontId="4" fillId="5" borderId="13" xfId="66" applyNumberFormat="1" applyFill="1" applyBorder="1" applyAlignment="1">
      <alignment horizontal="center"/>
    </xf>
    <xf numFmtId="181" fontId="4" fillId="0" borderId="13" xfId="66" applyNumberFormat="1" applyBorder="1" applyAlignment="1">
      <alignment horizontal="center"/>
    </xf>
    <xf numFmtId="166" fontId="4" fillId="5" borderId="15" xfId="66" applyNumberFormat="1" applyFill="1" applyBorder="1" applyAlignment="1">
      <alignment horizontal="center"/>
    </xf>
    <xf numFmtId="181" fontId="4" fillId="0" borderId="15" xfId="66" applyNumberFormat="1" applyBorder="1" applyAlignment="1">
      <alignment horizontal="center"/>
    </xf>
    <xf numFmtId="166" fontId="4" fillId="5" borderId="19" xfId="66" applyNumberFormat="1" applyFill="1" applyBorder="1" applyAlignment="1">
      <alignment horizontal="center"/>
    </xf>
    <xf numFmtId="167" fontId="4" fillId="5" borderId="38" xfId="66" applyNumberFormat="1" applyFont="1" applyFill="1" applyBorder="1"/>
    <xf numFmtId="167" fontId="4" fillId="5" borderId="39" xfId="66" applyNumberFormat="1" applyFont="1" applyFill="1" applyBorder="1"/>
    <xf numFmtId="167" fontId="4" fillId="0" borderId="39" xfId="66" applyNumberFormat="1" applyFont="1" applyBorder="1"/>
    <xf numFmtId="177" fontId="4" fillId="0" borderId="40" xfId="66" applyNumberFormat="1" applyFont="1" applyBorder="1"/>
    <xf numFmtId="177" fontId="4" fillId="0" borderId="41" xfId="66" applyNumberFormat="1" applyFont="1" applyBorder="1"/>
    <xf numFmtId="167" fontId="4" fillId="5" borderId="42" xfId="66" applyNumberFormat="1" applyFont="1" applyFill="1" applyBorder="1"/>
    <xf numFmtId="0" fontId="5" fillId="0" borderId="32" xfId="66" applyFont="1" applyFill="1" applyBorder="1" applyAlignment="1">
      <alignment horizontal="center"/>
    </xf>
    <xf numFmtId="166" fontId="5" fillId="0" borderId="33" xfId="66" applyNumberFormat="1" applyFont="1" applyFill="1" applyBorder="1" applyAlignment="1">
      <alignment horizontal="center"/>
    </xf>
    <xf numFmtId="0" fontId="5" fillId="0" borderId="36" xfId="66" applyFont="1" applyFill="1" applyBorder="1" applyAlignment="1">
      <alignment horizontal="center"/>
    </xf>
    <xf numFmtId="0" fontId="5" fillId="0" borderId="37" xfId="66" applyFont="1" applyFill="1" applyBorder="1" applyAlignment="1">
      <alignment horizontal="center"/>
    </xf>
    <xf numFmtId="0" fontId="4" fillId="0" borderId="15" xfId="66" applyBorder="1"/>
    <xf numFmtId="0" fontId="5" fillId="0" borderId="34" xfId="66" applyFont="1" applyBorder="1" applyAlignment="1">
      <alignment horizontal="center"/>
    </xf>
    <xf numFmtId="0" fontId="7" fillId="0" borderId="0" xfId="66" applyFont="1" applyFill="1"/>
    <xf numFmtId="0" fontId="3" fillId="0" borderId="0" xfId="0" applyFont="1" applyBorder="1" applyProtection="1"/>
    <xf numFmtId="0" fontId="0" fillId="0" borderId="0" xfId="0" applyProtection="1"/>
    <xf numFmtId="0" fontId="4" fillId="0" borderId="0" xfId="0" applyFont="1" applyBorder="1" applyAlignment="1" applyProtection="1">
      <alignment horizontal="center"/>
    </xf>
    <xf numFmtId="0" fontId="4" fillId="0" borderId="0" xfId="0" applyFont="1" applyBorder="1" applyProtection="1"/>
    <xf numFmtId="15" fontId="5" fillId="0" borderId="0" xfId="0" applyNumberFormat="1" applyFont="1" applyBorder="1" applyProtection="1"/>
    <xf numFmtId="0" fontId="4" fillId="0" borderId="0" xfId="0" applyFont="1" applyFill="1" applyProtection="1"/>
    <xf numFmtId="0" fontId="0" fillId="0" borderId="0" xfId="0" applyFill="1" applyProtection="1"/>
    <xf numFmtId="0" fontId="0" fillId="6" borderId="0" xfId="0" applyFill="1" applyProtection="1"/>
    <xf numFmtId="15" fontId="29" fillId="7" borderId="0" xfId="0" applyNumberFormat="1" applyFont="1" applyFill="1" applyBorder="1" applyProtection="1"/>
    <xf numFmtId="0" fontId="0" fillId="7" borderId="0" xfId="0" applyFill="1" applyProtection="1"/>
    <xf numFmtId="0" fontId="4" fillId="7" borderId="0" xfId="0" applyFont="1" applyFill="1" applyBorder="1" applyAlignment="1" applyProtection="1">
      <alignment horizontal="center"/>
    </xf>
    <xf numFmtId="0" fontId="4" fillId="7" borderId="0" xfId="0" applyFont="1" applyFill="1" applyBorder="1" applyProtection="1"/>
    <xf numFmtId="0" fontId="4" fillId="7" borderId="0" xfId="0" applyFont="1" applyFill="1" applyProtection="1"/>
    <xf numFmtId="0" fontId="29" fillId="0" borderId="0" xfId="0" applyFont="1" applyProtection="1"/>
    <xf numFmtId="0" fontId="0" fillId="0" borderId="0" xfId="0" applyAlignment="1" applyProtection="1">
      <alignment horizontal="center"/>
    </xf>
    <xf numFmtId="15" fontId="5" fillId="0" borderId="43" xfId="0" applyNumberFormat="1" applyFont="1" applyBorder="1" applyProtection="1"/>
    <xf numFmtId="0" fontId="0" fillId="0" borderId="44" xfId="0" applyBorder="1" applyProtection="1"/>
    <xf numFmtId="0" fontId="4" fillId="0" borderId="45" xfId="0" applyFont="1" applyBorder="1" applyAlignment="1" applyProtection="1">
      <alignment horizontal="center"/>
    </xf>
    <xf numFmtId="0" fontId="4" fillId="0" borderId="45" xfId="0" applyFont="1" applyBorder="1" applyProtection="1"/>
    <xf numFmtId="0" fontId="0" fillId="0" borderId="45" xfId="0" applyBorder="1" applyProtection="1"/>
    <xf numFmtId="0" fontId="4" fillId="0" borderId="45" xfId="0" applyFont="1" applyFill="1" applyBorder="1" applyProtection="1"/>
    <xf numFmtId="0" fontId="0" fillId="0" borderId="45" xfId="0" applyFill="1" applyBorder="1" applyProtection="1"/>
    <xf numFmtId="0" fontId="0" fillId="0" borderId="46" xfId="0" applyBorder="1" applyProtection="1"/>
    <xf numFmtId="0" fontId="5" fillId="0" borderId="0" xfId="0" applyFont="1" applyProtection="1"/>
    <xf numFmtId="0" fontId="5" fillId="8" borderId="8" xfId="0" applyFont="1" applyFill="1" applyBorder="1" applyAlignment="1" applyProtection="1">
      <alignment horizontal="center"/>
    </xf>
    <xf numFmtId="0" fontId="5" fillId="8" borderId="47" xfId="0" applyFont="1" applyFill="1" applyBorder="1" applyAlignment="1" applyProtection="1"/>
    <xf numFmtId="0" fontId="4" fillId="9" borderId="47" xfId="0" applyFont="1" applyFill="1" applyBorder="1" applyProtection="1"/>
    <xf numFmtId="0" fontId="0" fillId="9" borderId="47" xfId="0" applyFill="1" applyBorder="1" applyProtection="1"/>
    <xf numFmtId="0" fontId="0" fillId="9" borderId="5" xfId="0" applyFill="1" applyBorder="1" applyProtection="1"/>
    <xf numFmtId="0" fontId="5" fillId="0" borderId="48" xfId="0" applyFont="1" applyFill="1" applyBorder="1" applyAlignment="1" applyProtection="1">
      <alignment horizontal="center"/>
    </xf>
    <xf numFmtId="0" fontId="4" fillId="0" borderId="48" xfId="0" applyFont="1" applyFill="1" applyBorder="1" applyAlignment="1" applyProtection="1"/>
    <xf numFmtId="0" fontId="4" fillId="0" borderId="48" xfId="0" applyFont="1" applyFill="1" applyBorder="1" applyAlignment="1" applyProtection="1">
      <alignment horizontal="center"/>
    </xf>
    <xf numFmtId="0" fontId="4" fillId="0" borderId="49" xfId="0" applyFont="1" applyFill="1" applyBorder="1" applyAlignment="1" applyProtection="1"/>
    <xf numFmtId="0" fontId="4" fillId="0" borderId="49" xfId="0" applyFont="1" applyFill="1" applyBorder="1" applyProtection="1"/>
    <xf numFmtId="0" fontId="4" fillId="0" borderId="50" xfId="0" applyFont="1" applyFill="1" applyBorder="1" applyProtection="1"/>
    <xf numFmtId="0" fontId="5" fillId="0" borderId="6" xfId="0" applyFont="1" applyFill="1" applyBorder="1" applyAlignment="1" applyProtection="1">
      <alignment horizontal="center"/>
    </xf>
    <xf numFmtId="0" fontId="4" fillId="0" borderId="6" xfId="0" applyFont="1" applyFill="1" applyBorder="1" applyAlignment="1" applyProtection="1"/>
    <xf numFmtId="0" fontId="4" fillId="0" borderId="6" xfId="0" applyFont="1" applyFill="1" applyBorder="1" applyAlignment="1" applyProtection="1">
      <alignment horizontal="center"/>
    </xf>
    <xf numFmtId="15" fontId="4" fillId="0" borderId="6" xfId="0" applyNumberFormat="1" applyFont="1" applyFill="1" applyBorder="1" applyAlignment="1" applyProtection="1">
      <alignment horizontal="center"/>
    </xf>
    <xf numFmtId="0" fontId="4" fillId="0" borderId="0" xfId="0" applyFont="1" applyFill="1" applyBorder="1" applyAlignment="1" applyProtection="1"/>
    <xf numFmtId="0" fontId="4" fillId="0" borderId="0" xfId="0" applyFont="1" applyFill="1" applyBorder="1" applyProtection="1"/>
    <xf numFmtId="0" fontId="4" fillId="0" borderId="24" xfId="0" applyFont="1" applyFill="1" applyBorder="1" applyProtection="1"/>
    <xf numFmtId="0" fontId="5" fillId="0" borderId="9" xfId="0" applyFont="1" applyFill="1" applyBorder="1" applyAlignment="1" applyProtection="1">
      <alignment horizontal="center"/>
    </xf>
    <xf numFmtId="0" fontId="4" fillId="0" borderId="9" xfId="0" applyFont="1" applyFill="1" applyBorder="1" applyAlignment="1" applyProtection="1"/>
    <xf numFmtId="0" fontId="4" fillId="0" borderId="9" xfId="0" applyFont="1" applyFill="1" applyBorder="1" applyAlignment="1" applyProtection="1">
      <alignment horizontal="center"/>
    </xf>
    <xf numFmtId="0" fontId="4" fillId="0" borderId="51" xfId="0" applyFont="1" applyFill="1" applyBorder="1" applyAlignment="1" applyProtection="1"/>
    <xf numFmtId="0" fontId="4" fillId="0" borderId="51" xfId="0" applyFont="1" applyFill="1" applyBorder="1" applyProtection="1"/>
    <xf numFmtId="0" fontId="4" fillId="0" borderId="52" xfId="0" applyFont="1" applyFill="1" applyBorder="1" applyProtection="1"/>
    <xf numFmtId="0" fontId="4" fillId="0" borderId="6" xfId="0" applyFont="1" applyBorder="1" applyProtection="1"/>
    <xf numFmtId="0" fontId="4" fillId="0" borderId="6" xfId="0" applyFont="1" applyBorder="1" applyAlignment="1" applyProtection="1">
      <alignment horizontal="center"/>
    </xf>
    <xf numFmtId="0" fontId="0" fillId="0" borderId="16" xfId="0" applyBorder="1" applyProtection="1"/>
    <xf numFmtId="0" fontId="0" fillId="0" borderId="0" xfId="0" applyFill="1" applyBorder="1" applyProtection="1"/>
    <xf numFmtId="0" fontId="0" fillId="0" borderId="24" xfId="0" applyFill="1" applyBorder="1" applyProtection="1"/>
    <xf numFmtId="0" fontId="5" fillId="0" borderId="0" xfId="66" applyFont="1" applyFill="1" applyProtection="1"/>
    <xf numFmtId="0" fontId="4" fillId="0" borderId="0" xfId="66" applyFill="1" applyProtection="1"/>
    <xf numFmtId="0" fontId="4" fillId="0" borderId="0" xfId="66" applyFill="1" applyBorder="1" applyProtection="1"/>
    <xf numFmtId="0" fontId="4" fillId="0" borderId="0" xfId="66" applyFill="1" applyBorder="1" applyAlignment="1" applyProtection="1">
      <alignment horizontal="right"/>
    </xf>
    <xf numFmtId="0" fontId="4" fillId="0" borderId="0" xfId="66" applyFont="1" applyFill="1" applyBorder="1" applyAlignment="1" applyProtection="1">
      <alignment horizontal="right"/>
    </xf>
    <xf numFmtId="0" fontId="4" fillId="0" borderId="0" xfId="66" applyFont="1" applyFill="1" applyBorder="1" applyProtection="1"/>
    <xf numFmtId="3" fontId="4" fillId="0" borderId="0" xfId="66" applyNumberFormat="1" applyFill="1" applyBorder="1" applyProtection="1"/>
    <xf numFmtId="0" fontId="4" fillId="0" borderId="48" xfId="0" applyFont="1" applyBorder="1" applyProtection="1"/>
    <xf numFmtId="0" fontId="4" fillId="0" borderId="48" xfId="0" applyFont="1" applyBorder="1" applyAlignment="1" applyProtection="1">
      <alignment horizontal="center"/>
    </xf>
    <xf numFmtId="0" fontId="0" fillId="0" borderId="49" xfId="0" applyBorder="1" applyProtection="1"/>
    <xf numFmtId="0" fontId="0" fillId="0" borderId="50" xfId="0" applyBorder="1" applyProtection="1"/>
    <xf numFmtId="0" fontId="0" fillId="0" borderId="0" xfId="0" applyBorder="1" applyProtection="1"/>
    <xf numFmtId="0" fontId="4" fillId="0" borderId="6" xfId="0" applyFont="1" applyFill="1" applyBorder="1" applyProtection="1"/>
    <xf numFmtId="3" fontId="4" fillId="0" borderId="0" xfId="66" applyNumberFormat="1" applyFont="1" applyFill="1" applyBorder="1" applyProtection="1"/>
    <xf numFmtId="0" fontId="0" fillId="0" borderId="49" xfId="0" applyFill="1" applyBorder="1" applyProtection="1"/>
    <xf numFmtId="0" fontId="0" fillId="0" borderId="50" xfId="0" applyFill="1" applyBorder="1" applyProtection="1"/>
    <xf numFmtId="0" fontId="9" fillId="0" borderId="0" xfId="66" applyFont="1" applyFill="1" applyBorder="1" applyAlignment="1" applyProtection="1">
      <alignment horizontal="right"/>
    </xf>
    <xf numFmtId="172" fontId="4" fillId="0" borderId="0" xfId="66" applyNumberFormat="1" applyFill="1" applyBorder="1" applyAlignment="1" applyProtection="1">
      <alignment horizontal="right"/>
    </xf>
    <xf numFmtId="0" fontId="4" fillId="0" borderId="16" xfId="0" applyFont="1" applyFill="1" applyBorder="1" applyProtection="1"/>
    <xf numFmtId="0" fontId="8" fillId="0" borderId="0" xfId="66" applyFont="1" applyFill="1" applyBorder="1" applyAlignment="1" applyProtection="1"/>
    <xf numFmtId="0" fontId="9" fillId="0" borderId="0" xfId="66" applyFont="1" applyFill="1" applyBorder="1" applyAlignment="1" applyProtection="1">
      <alignment horizontal="left"/>
    </xf>
    <xf numFmtId="172" fontId="4" fillId="0" borderId="0" xfId="66" applyNumberFormat="1" applyFont="1" applyAlignment="1" applyProtection="1">
      <alignment horizontal="left"/>
    </xf>
    <xf numFmtId="0" fontId="4" fillId="0" borderId="16" xfId="0" applyFont="1" applyBorder="1" applyAlignment="1" applyProtection="1">
      <alignment horizontal="center"/>
    </xf>
    <xf numFmtId="0" fontId="4" fillId="0" borderId="16" xfId="0" applyFont="1" applyBorder="1" applyProtection="1"/>
    <xf numFmtId="0" fontId="4" fillId="0" borderId="0" xfId="66" applyProtection="1"/>
    <xf numFmtId="172" fontId="11" fillId="0" borderId="0" xfId="66" applyNumberFormat="1" applyFont="1" applyFill="1" applyBorder="1" applyProtection="1"/>
    <xf numFmtId="0" fontId="4" fillId="0" borderId="53" xfId="0" applyFont="1" applyBorder="1" applyProtection="1"/>
    <xf numFmtId="0" fontId="5" fillId="0" borderId="0" xfId="0" applyFont="1" applyBorder="1" applyAlignment="1" applyProtection="1">
      <alignment horizontal="center"/>
    </xf>
    <xf numFmtId="0" fontId="5" fillId="0" borderId="0" xfId="0" applyFont="1" applyAlignment="1" applyProtection="1">
      <alignment horizontal="center"/>
    </xf>
    <xf numFmtId="0" fontId="5" fillId="6" borderId="0" xfId="0" applyFont="1" applyFill="1" applyAlignment="1" applyProtection="1">
      <alignment horizontal="left"/>
    </xf>
    <xf numFmtId="37" fontId="18" fillId="0" borderId="54" xfId="168" applyNumberFormat="1" applyFont="1" applyBorder="1" applyProtection="1"/>
    <xf numFmtId="164" fontId="25" fillId="0" borderId="23" xfId="168" applyFont="1" applyBorder="1" applyProtection="1"/>
    <xf numFmtId="164" fontId="25" fillId="0" borderId="8" xfId="168" applyNumberFormat="1" applyFont="1" applyFill="1" applyBorder="1" applyAlignment="1" applyProtection="1">
      <alignment horizontal="right"/>
    </xf>
    <xf numFmtId="164" fontId="25" fillId="0" borderId="8" xfId="168" applyNumberFormat="1" applyFont="1" applyFill="1" applyBorder="1" applyAlignment="1" applyProtection="1">
      <alignment horizontal="center"/>
    </xf>
    <xf numFmtId="1" fontId="25" fillId="0" borderId="55" xfId="46" applyNumberFormat="1" applyFont="1" applyBorder="1" applyProtection="1"/>
    <xf numFmtId="174" fontId="25" fillId="0" borderId="56" xfId="175" applyNumberFormat="1" applyFont="1" applyBorder="1" applyProtection="1"/>
    <xf numFmtId="0" fontId="0" fillId="0" borderId="20" xfId="0" applyBorder="1" applyAlignment="1" applyProtection="1">
      <alignment horizontal="center"/>
    </xf>
    <xf numFmtId="0" fontId="0" fillId="0" borderId="20" xfId="0" applyBorder="1" applyProtection="1"/>
    <xf numFmtId="0" fontId="4" fillId="0" borderId="0" xfId="66" applyFont="1" applyFill="1" applyProtection="1"/>
    <xf numFmtId="0" fontId="0" fillId="0" borderId="0" xfId="0" applyAlignment="1">
      <alignment wrapText="1"/>
    </xf>
    <xf numFmtId="0" fontId="0" fillId="0" borderId="0" xfId="0" applyBorder="1" applyAlignment="1">
      <alignment wrapText="1"/>
    </xf>
    <xf numFmtId="0" fontId="0" fillId="0" borderId="16" xfId="0" applyBorder="1" applyAlignment="1">
      <alignment wrapText="1"/>
    </xf>
    <xf numFmtId="0" fontId="0" fillId="0" borderId="57" xfId="0" applyBorder="1" applyAlignment="1">
      <alignment wrapText="1"/>
    </xf>
    <xf numFmtId="0" fontId="0" fillId="0" borderId="51" xfId="0" applyBorder="1" applyAlignment="1">
      <alignment wrapText="1"/>
    </xf>
    <xf numFmtId="0" fontId="0" fillId="0" borderId="24" xfId="0" applyBorder="1" applyAlignment="1"/>
    <xf numFmtId="14" fontId="0" fillId="0" borderId="0" xfId="0" applyNumberFormat="1"/>
    <xf numFmtId="14" fontId="0" fillId="0" borderId="0" xfId="0" quotePrefix="1" applyNumberFormat="1"/>
    <xf numFmtId="0" fontId="0" fillId="0" borderId="0" xfId="0" quotePrefix="1"/>
    <xf numFmtId="0" fontId="0" fillId="0" borderId="51" xfId="0" applyBorder="1"/>
    <xf numFmtId="3" fontId="6" fillId="0" borderId="6" xfId="0" applyNumberFormat="1" applyFont="1" applyFill="1" applyBorder="1" applyAlignment="1" applyProtection="1">
      <alignment horizontal="center"/>
      <protection locked="0"/>
    </xf>
    <xf numFmtId="0" fontId="5" fillId="0" borderId="0" xfId="0" applyFont="1" applyAlignment="1" applyProtection="1">
      <alignment horizontal="left"/>
    </xf>
    <xf numFmtId="0" fontId="13" fillId="0" borderId="0" xfId="66" applyFont="1" applyFill="1" applyProtection="1"/>
    <xf numFmtId="0" fontId="0" fillId="0" borderId="49" xfId="0" applyBorder="1"/>
    <xf numFmtId="0" fontId="0" fillId="0" borderId="24" xfId="0" applyBorder="1"/>
    <xf numFmtId="0" fontId="0" fillId="0" borderId="52" xfId="0" applyBorder="1"/>
    <xf numFmtId="0" fontId="0" fillId="7" borderId="48" xfId="0" applyFill="1" applyBorder="1" applyAlignment="1" applyProtection="1">
      <alignment horizontal="center"/>
    </xf>
    <xf numFmtId="0" fontId="4" fillId="7" borderId="53" xfId="0" applyFont="1" applyFill="1" applyBorder="1" applyProtection="1"/>
    <xf numFmtId="0" fontId="4" fillId="7" borderId="49" xfId="0" applyFont="1" applyFill="1" applyBorder="1" applyProtection="1"/>
    <xf numFmtId="0" fontId="0" fillId="7" borderId="49" xfId="0" applyFill="1" applyBorder="1" applyProtection="1"/>
    <xf numFmtId="0" fontId="0" fillId="7" borderId="50" xfId="0" applyFill="1" applyBorder="1" applyProtection="1"/>
    <xf numFmtId="0" fontId="0" fillId="7" borderId="6" xfId="0" applyFill="1" applyBorder="1" applyProtection="1"/>
    <xf numFmtId="0" fontId="0" fillId="7" borderId="6" xfId="0" applyFill="1" applyBorder="1" applyAlignment="1" applyProtection="1">
      <alignment horizontal="center"/>
    </xf>
    <xf numFmtId="0" fontId="4" fillId="7" borderId="16" xfId="0" applyFont="1" applyFill="1" applyBorder="1" applyProtection="1"/>
    <xf numFmtId="0" fontId="0" fillId="7" borderId="0" xfId="0" applyFill="1" applyBorder="1" applyProtection="1"/>
    <xf numFmtId="0" fontId="0" fillId="7" borderId="24" xfId="0" applyFill="1" applyBorder="1" applyProtection="1"/>
    <xf numFmtId="0" fontId="0" fillId="7" borderId="16" xfId="0" applyFill="1" applyBorder="1" applyProtection="1"/>
    <xf numFmtId="0" fontId="4" fillId="7" borderId="6" xfId="0" applyFont="1" applyFill="1" applyBorder="1" applyProtection="1"/>
    <xf numFmtId="0" fontId="4" fillId="7" borderId="6" xfId="0" applyFont="1" applyFill="1" applyBorder="1" applyAlignment="1" applyProtection="1">
      <alignment horizontal="center"/>
    </xf>
    <xf numFmtId="0" fontId="4" fillId="7" borderId="0" xfId="0" applyFont="1" applyFill="1" applyBorder="1" applyAlignment="1" applyProtection="1"/>
    <xf numFmtId="0" fontId="4" fillId="7" borderId="48" xfId="0" applyFont="1" applyFill="1" applyBorder="1" applyProtection="1"/>
    <xf numFmtId="0" fontId="4" fillId="7" borderId="48" xfId="0" applyFont="1" applyFill="1" applyBorder="1" applyAlignment="1" applyProtection="1">
      <alignment horizontal="center"/>
    </xf>
    <xf numFmtId="0" fontId="0" fillId="7" borderId="53" xfId="0" applyFill="1" applyBorder="1" applyProtection="1"/>
    <xf numFmtId="0" fontId="0" fillId="7" borderId="0" xfId="0" applyFill="1" applyBorder="1" applyAlignment="1" applyProtection="1">
      <alignment horizontal="center"/>
    </xf>
    <xf numFmtId="0" fontId="4" fillId="7" borderId="9" xfId="0" applyFont="1" applyFill="1" applyBorder="1" applyProtection="1"/>
    <xf numFmtId="0" fontId="4" fillId="7" borderId="9" xfId="0" applyFont="1" applyFill="1" applyBorder="1" applyAlignment="1" applyProtection="1">
      <alignment horizontal="center"/>
    </xf>
    <xf numFmtId="0" fontId="4" fillId="7" borderId="51" xfId="0" applyFont="1" applyFill="1" applyBorder="1" applyAlignment="1" applyProtection="1"/>
    <xf numFmtId="0" fontId="4" fillId="7" borderId="51" xfId="0" applyFont="1" applyFill="1" applyBorder="1" applyProtection="1"/>
    <xf numFmtId="0" fontId="0" fillId="7" borderId="51" xfId="0" applyFill="1" applyBorder="1" applyProtection="1"/>
    <xf numFmtId="0" fontId="0" fillId="7" borderId="52" xfId="0" applyFill="1" applyBorder="1" applyProtection="1"/>
    <xf numFmtId="0" fontId="4" fillId="7" borderId="8" xfId="0" applyFont="1" applyFill="1" applyBorder="1" applyAlignment="1" applyProtection="1">
      <alignment horizontal="center"/>
    </xf>
    <xf numFmtId="1" fontId="6" fillId="2" borderId="6" xfId="0" applyNumberFormat="1" applyFont="1" applyFill="1" applyBorder="1" applyAlignment="1" applyProtection="1">
      <alignment horizontal="center"/>
      <protection locked="0"/>
    </xf>
    <xf numFmtId="3"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87" fontId="6" fillId="2" borderId="6" xfId="0" applyNumberFormat="1" applyFont="1" applyFill="1" applyBorder="1" applyAlignment="1" applyProtection="1">
      <alignment horizontal="center"/>
      <protection locked="0"/>
    </xf>
    <xf numFmtId="0" fontId="24" fillId="2" borderId="6" xfId="0" applyFont="1" applyFill="1" applyBorder="1" applyAlignment="1" applyProtection="1">
      <alignment horizontal="center"/>
      <protection locked="0"/>
    </xf>
    <xf numFmtId="172" fontId="5" fillId="2" borderId="6" xfId="66" applyNumberFormat="1" applyFont="1" applyFill="1" applyBorder="1" applyAlignment="1" applyProtection="1">
      <alignment horizontal="center" wrapText="1"/>
    </xf>
    <xf numFmtId="172" fontId="5" fillId="2" borderId="6" xfId="0" applyNumberFormat="1" applyFont="1" applyFill="1" applyBorder="1" applyAlignment="1" applyProtection="1">
      <alignment horizontal="center"/>
    </xf>
    <xf numFmtId="3" fontId="5" fillId="2" borderId="6" xfId="0" applyNumberFormat="1" applyFont="1" applyFill="1" applyBorder="1" applyAlignment="1" applyProtection="1">
      <alignment horizontal="center"/>
    </xf>
    <xf numFmtId="182" fontId="5" fillId="2" borderId="6" xfId="0" applyNumberFormat="1" applyFont="1" applyFill="1" applyBorder="1" applyAlignment="1" applyProtection="1">
      <alignment horizontal="center"/>
    </xf>
    <xf numFmtId="179" fontId="5" fillId="2" borderId="6" xfId="0" applyNumberFormat="1" applyFont="1" applyFill="1" applyBorder="1" applyAlignment="1" applyProtection="1">
      <alignment horizontal="center"/>
    </xf>
    <xf numFmtId="3" fontId="6" fillId="2" borderId="48"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172" fontId="6" fillId="2" borderId="6" xfId="0" applyNumberFormat="1" applyFont="1" applyFill="1" applyBorder="1" applyAlignment="1" applyProtection="1">
      <alignment horizontal="center"/>
    </xf>
    <xf numFmtId="10" fontId="6" fillId="2" borderId="6" xfId="0" applyNumberFormat="1" applyFont="1" applyFill="1" applyBorder="1" applyAlignment="1" applyProtection="1">
      <alignment horizontal="center"/>
    </xf>
    <xf numFmtId="176" fontId="10" fillId="2" borderId="6" xfId="0" applyNumberFormat="1" applyFont="1" applyFill="1" applyBorder="1" applyAlignment="1" applyProtection="1">
      <alignment horizontal="center"/>
    </xf>
    <xf numFmtId="165" fontId="6" fillId="2" borderId="9" xfId="0" applyNumberFormat="1" applyFont="1" applyFill="1" applyBorder="1" applyAlignment="1" applyProtection="1">
      <alignment horizontal="center"/>
    </xf>
    <xf numFmtId="0" fontId="5" fillId="0" borderId="16" xfId="0" applyFont="1" applyBorder="1" applyAlignment="1">
      <alignment wrapText="1"/>
    </xf>
    <xf numFmtId="0" fontId="5" fillId="0" borderId="0" xfId="0" applyFont="1" applyBorder="1" applyAlignment="1">
      <alignment wrapText="1"/>
    </xf>
    <xf numFmtId="0" fontId="5" fillId="0" borderId="24" xfId="0" applyFont="1" applyBorder="1"/>
    <xf numFmtId="180" fontId="38" fillId="0" borderId="0" xfId="167" applyNumberFormat="1" applyFont="1" applyAlignment="1" applyProtection="1">
      <protection locked="0"/>
    </xf>
    <xf numFmtId="0" fontId="5" fillId="7" borderId="36" xfId="0" applyFont="1" applyFill="1" applyBorder="1" applyAlignment="1" applyProtection="1">
      <alignment horizontal="center"/>
    </xf>
    <xf numFmtId="0" fontId="5" fillId="7" borderId="58" xfId="0" applyFont="1" applyFill="1" applyBorder="1" applyAlignment="1" applyProtection="1">
      <alignment horizontal="center"/>
    </xf>
    <xf numFmtId="0" fontId="4" fillId="13" borderId="59" xfId="0" applyFont="1" applyFill="1" applyBorder="1" applyAlignment="1">
      <alignment horizontal="center"/>
    </xf>
    <xf numFmtId="0" fontId="4" fillId="13" borderId="59" xfId="0" applyFont="1" applyFill="1" applyBorder="1" applyAlignment="1" applyProtection="1">
      <alignment horizontal="center"/>
    </xf>
    <xf numFmtId="0" fontId="4" fillId="7" borderId="2" xfId="0" applyFont="1" applyFill="1" applyBorder="1" applyAlignment="1" applyProtection="1">
      <alignment horizontal="center"/>
    </xf>
    <xf numFmtId="0" fontId="4" fillId="0" borderId="8" xfId="0" applyFont="1" applyBorder="1" applyAlignment="1">
      <alignment horizontal="center"/>
    </xf>
    <xf numFmtId="0" fontId="4" fillId="13" borderId="60" xfId="0" applyFont="1" applyFill="1" applyBorder="1" applyAlignment="1" applyProtection="1">
      <alignment horizontal="center"/>
    </xf>
    <xf numFmtId="4" fontId="5" fillId="0" borderId="0" xfId="0" applyNumberFormat="1" applyFont="1" applyBorder="1" applyAlignment="1" applyProtection="1">
      <alignment horizontal="center"/>
    </xf>
    <xf numFmtId="0" fontId="0" fillId="0" borderId="49" xfId="0" applyBorder="1" applyAlignment="1">
      <alignment wrapText="1"/>
    </xf>
    <xf numFmtId="0" fontId="31" fillId="14" borderId="16" xfId="0" applyFont="1" applyFill="1" applyBorder="1" applyAlignment="1">
      <alignment wrapText="1"/>
    </xf>
    <xf numFmtId="0" fontId="31" fillId="14" borderId="0" xfId="0" applyFont="1" applyFill="1" applyBorder="1" applyAlignment="1">
      <alignment wrapText="1"/>
    </xf>
    <xf numFmtId="0" fontId="9" fillId="0" borderId="16" xfId="0" applyFont="1" applyBorder="1" applyAlignment="1">
      <alignment wrapText="1"/>
    </xf>
    <xf numFmtId="0" fontId="7" fillId="0" borderId="16" xfId="0" applyFont="1" applyBorder="1" applyAlignment="1">
      <alignment horizontal="left" vertical="center" wrapText="1" indent="1"/>
    </xf>
    <xf numFmtId="0" fontId="7" fillId="0" borderId="0" xfId="0" applyFont="1" applyBorder="1" applyAlignment="1">
      <alignment horizontal="left" vertical="center" wrapText="1" indent="1"/>
    </xf>
    <xf numFmtId="0" fontId="12" fillId="0" borderId="0" xfId="0" applyFont="1" applyBorder="1"/>
    <xf numFmtId="0" fontId="5" fillId="0" borderId="84" xfId="0" applyFont="1" applyBorder="1"/>
    <xf numFmtId="0" fontId="0" fillId="0" borderId="85" xfId="0" applyBorder="1" applyAlignment="1">
      <alignment wrapText="1"/>
    </xf>
    <xf numFmtId="0" fontId="9" fillId="0" borderId="84" xfId="0" applyFont="1" applyBorder="1" applyAlignment="1">
      <alignment horizontal="left"/>
    </xf>
    <xf numFmtId="0" fontId="9" fillId="0" borderId="84" xfId="0" applyFont="1" applyBorder="1" applyAlignment="1">
      <alignment horizontal="left" wrapText="1"/>
    </xf>
    <xf numFmtId="0" fontId="0" fillId="0" borderId="24" xfId="0" applyBorder="1" applyAlignment="1">
      <alignment wrapText="1"/>
    </xf>
    <xf numFmtId="0" fontId="8" fillId="14" borderId="14" xfId="66" applyFont="1" applyFill="1" applyBorder="1" applyAlignment="1">
      <alignment horizontal="center"/>
    </xf>
    <xf numFmtId="0" fontId="4" fillId="0" borderId="8" xfId="0" applyFont="1" applyFill="1" applyBorder="1" applyAlignment="1">
      <alignment horizontal="center"/>
    </xf>
    <xf numFmtId="0" fontId="4" fillId="13" borderId="61" xfId="0" applyFont="1" applyFill="1" applyBorder="1" applyAlignment="1" applyProtection="1">
      <alignment horizontal="center"/>
    </xf>
    <xf numFmtId="0" fontId="0" fillId="0" borderId="59" xfId="0" applyBorder="1" applyAlignment="1">
      <alignment horizontal="center"/>
    </xf>
    <xf numFmtId="0" fontId="0" fillId="0" borderId="59" xfId="0" applyFill="1" applyBorder="1" applyAlignment="1">
      <alignment horizontal="center"/>
    </xf>
    <xf numFmtId="0" fontId="0" fillId="13" borderId="62" xfId="0" applyFill="1" applyBorder="1" applyAlignment="1">
      <alignment horizontal="center"/>
    </xf>
    <xf numFmtId="0" fontId="0" fillId="0" borderId="60" xfId="0" applyFill="1" applyBorder="1" applyAlignment="1">
      <alignment horizontal="center"/>
    </xf>
    <xf numFmtId="0" fontId="4" fillId="0" borderId="48" xfId="0" applyFont="1" applyFill="1" applyBorder="1" applyAlignment="1">
      <alignment horizontal="center"/>
    </xf>
    <xf numFmtId="10" fontId="6" fillId="2" borderId="48" xfId="0" applyNumberFormat="1" applyFont="1" applyFill="1" applyBorder="1" applyAlignment="1" applyProtection="1">
      <alignment horizontal="center"/>
    </xf>
    <xf numFmtId="189" fontId="5" fillId="2" borderId="6" xfId="0" applyNumberFormat="1" applyFont="1" applyFill="1" applyBorder="1" applyAlignment="1" applyProtection="1">
      <alignment horizontal="center"/>
    </xf>
    <xf numFmtId="2" fontId="0" fillId="0" borderId="60" xfId="0" applyNumberFormat="1" applyFill="1" applyBorder="1" applyAlignment="1">
      <alignment horizontal="center"/>
    </xf>
    <xf numFmtId="0" fontId="0" fillId="13" borderId="63" xfId="0" applyFill="1" applyBorder="1" applyAlignment="1">
      <alignment horizontal="center"/>
    </xf>
    <xf numFmtId="0" fontId="5" fillId="7" borderId="32" xfId="0" applyFont="1" applyFill="1" applyBorder="1" applyAlignment="1" applyProtection="1">
      <alignment horizontal="center"/>
    </xf>
    <xf numFmtId="9" fontId="6" fillId="2" borderId="6" xfId="0" applyNumberFormat="1" applyFont="1" applyFill="1" applyBorder="1" applyAlignment="1" applyProtection="1">
      <alignment horizontal="center"/>
    </xf>
    <xf numFmtId="0" fontId="0" fillId="0" borderId="35" xfId="0" applyFill="1" applyBorder="1" applyAlignment="1">
      <alignment horizontal="center"/>
    </xf>
    <xf numFmtId="0" fontId="4" fillId="0" borderId="6" xfId="0" applyFont="1" applyFill="1" applyBorder="1" applyAlignment="1">
      <alignment horizontal="center"/>
    </xf>
    <xf numFmtId="0" fontId="0" fillId="0" borderId="61" xfId="0" applyFill="1" applyBorder="1" applyAlignment="1">
      <alignment horizontal="center"/>
    </xf>
    <xf numFmtId="0" fontId="4" fillId="0" borderId="2" xfId="0" applyFont="1" applyFill="1" applyBorder="1" applyAlignment="1">
      <alignment horizontal="center"/>
    </xf>
    <xf numFmtId="0" fontId="63" fillId="15" borderId="64" xfId="0" applyFont="1" applyFill="1" applyBorder="1"/>
    <xf numFmtId="0" fontId="63" fillId="15" borderId="65" xfId="0" applyFont="1" applyFill="1" applyBorder="1"/>
    <xf numFmtId="0" fontId="63" fillId="15" borderId="66" xfId="0" applyFont="1" applyFill="1" applyBorder="1"/>
    <xf numFmtId="0" fontId="63" fillId="15" borderId="14" xfId="0" applyFont="1" applyFill="1" applyBorder="1" applyAlignment="1">
      <alignment horizontal="center"/>
    </xf>
    <xf numFmtId="0" fontId="63" fillId="15" borderId="0" xfId="0" applyFont="1" applyFill="1" applyBorder="1" applyAlignment="1">
      <alignment horizontal="center"/>
    </xf>
    <xf numFmtId="0" fontId="63" fillId="15" borderId="17" xfId="0" applyFont="1" applyFill="1" applyBorder="1" applyAlignment="1">
      <alignment horizontal="center"/>
    </xf>
    <xf numFmtId="0" fontId="63" fillId="15" borderId="14" xfId="0" applyFont="1" applyFill="1" applyBorder="1"/>
    <xf numFmtId="0" fontId="63" fillId="15" borderId="0" xfId="0" applyFont="1" applyFill="1" applyBorder="1"/>
    <xf numFmtId="0" fontId="63" fillId="15" borderId="17" xfId="0" applyFont="1" applyFill="1" applyBorder="1"/>
    <xf numFmtId="0" fontId="4" fillId="13" borderId="60" xfId="0" applyFont="1" applyFill="1" applyBorder="1" applyAlignment="1">
      <alignment horizontal="center"/>
    </xf>
    <xf numFmtId="0" fontId="0" fillId="0" borderId="53" xfId="0" applyBorder="1" applyProtection="1"/>
    <xf numFmtId="193" fontId="5" fillId="2" borderId="48" xfId="0" applyNumberFormat="1" applyFont="1" applyFill="1" applyBorder="1" applyAlignment="1" applyProtection="1">
      <alignment horizontal="center"/>
    </xf>
    <xf numFmtId="0" fontId="9" fillId="0" borderId="0" xfId="0" applyFont="1"/>
    <xf numFmtId="170" fontId="5" fillId="2" borderId="48" xfId="30" applyFont="1" applyFill="1" applyBorder="1" applyAlignment="1" applyProtection="1">
      <alignment horizontal="center"/>
    </xf>
    <xf numFmtId="0" fontId="5" fillId="13" borderId="48" xfId="0" applyFont="1" applyFill="1" applyBorder="1" applyAlignment="1" applyProtection="1">
      <alignment horizontal="center" vertical="center"/>
    </xf>
    <xf numFmtId="0" fontId="4" fillId="0" borderId="48" xfId="0" applyFont="1" applyFill="1" applyBorder="1" applyProtection="1"/>
    <xf numFmtId="0" fontId="4" fillId="0" borderId="59" xfId="0" applyFont="1" applyBorder="1" applyAlignment="1">
      <alignment horizontal="center"/>
    </xf>
    <xf numFmtId="0" fontId="5" fillId="7" borderId="9" xfId="0" applyFont="1" applyFill="1" applyBorder="1" applyAlignment="1" applyProtection="1">
      <alignment horizontal="center"/>
    </xf>
    <xf numFmtId="0" fontId="0" fillId="13" borderId="48" xfId="0" applyFill="1" applyBorder="1" applyProtection="1"/>
    <xf numFmtId="0" fontId="5" fillId="7" borderId="13" xfId="0" applyFont="1" applyFill="1" applyBorder="1" applyAlignment="1" applyProtection="1">
      <alignment horizontal="center"/>
    </xf>
    <xf numFmtId="0" fontId="4" fillId="13" borderId="67" xfId="0" applyFont="1" applyFill="1" applyBorder="1" applyAlignment="1" applyProtection="1">
      <alignment horizontal="center"/>
    </xf>
    <xf numFmtId="0" fontId="4" fillId="13" borderId="68" xfId="0" applyFont="1" applyFill="1" applyBorder="1" applyAlignment="1" applyProtection="1">
      <alignment horizontal="center"/>
    </xf>
    <xf numFmtId="0" fontId="44" fillId="7" borderId="9" xfId="0" applyFont="1" applyFill="1" applyBorder="1" applyAlignment="1">
      <alignment horizontal="center"/>
    </xf>
    <xf numFmtId="0" fontId="44" fillId="7" borderId="8" xfId="0" applyFont="1" applyFill="1" applyBorder="1" applyAlignment="1">
      <alignment horizontal="center"/>
    </xf>
    <xf numFmtId="0" fontId="0" fillId="10" borderId="0" xfId="0" applyFill="1"/>
    <xf numFmtId="172" fontId="0" fillId="10" borderId="8" xfId="0" applyNumberFormat="1" applyFill="1" applyBorder="1" applyAlignment="1">
      <alignment horizontal="center"/>
    </xf>
    <xf numFmtId="1" fontId="0" fillId="10" borderId="8" xfId="0" applyNumberFormat="1" applyFill="1" applyBorder="1" applyAlignment="1">
      <alignment horizontal="center"/>
    </xf>
    <xf numFmtId="172" fontId="0" fillId="10" borderId="9" xfId="0" applyNumberFormat="1" applyFill="1" applyBorder="1" applyAlignment="1">
      <alignment horizontal="center"/>
    </xf>
    <xf numFmtId="0" fontId="11" fillId="10" borderId="69" xfId="0" applyFont="1" applyFill="1" applyBorder="1" applyAlignment="1">
      <alignment horizontal="center"/>
    </xf>
    <xf numFmtId="174" fontId="11" fillId="10" borderId="9" xfId="0" applyNumberFormat="1" applyFont="1" applyFill="1" applyBorder="1" applyAlignment="1">
      <alignment horizontal="center"/>
    </xf>
    <xf numFmtId="0" fontId="44" fillId="7" borderId="37" xfId="0" applyFont="1" applyFill="1" applyBorder="1" applyAlignment="1">
      <alignment horizontal="center"/>
    </xf>
    <xf numFmtId="0" fontId="44" fillId="7" borderId="70" xfId="0" applyFont="1" applyFill="1" applyBorder="1" applyAlignment="1">
      <alignment horizontal="center"/>
    </xf>
    <xf numFmtId="10" fontId="0" fillId="0" borderId="8" xfId="0" applyNumberFormat="1" applyFill="1" applyBorder="1" applyAlignment="1">
      <alignment horizontal="center"/>
    </xf>
    <xf numFmtId="0" fontId="4" fillId="13" borderId="62" xfId="0" applyFont="1" applyFill="1" applyBorder="1" applyAlignment="1">
      <alignment horizontal="center"/>
    </xf>
    <xf numFmtId="172" fontId="24" fillId="2" borderId="6" xfId="0" applyNumberFormat="1" applyFont="1" applyFill="1" applyBorder="1" applyAlignment="1" applyProtection="1">
      <alignment horizontal="center"/>
    </xf>
    <xf numFmtId="0" fontId="63" fillId="15" borderId="65" xfId="0" applyFont="1" applyFill="1" applyBorder="1" applyAlignment="1">
      <alignment wrapText="1"/>
    </xf>
    <xf numFmtId="0" fontId="63" fillId="15" borderId="0" xfId="0" applyFont="1" applyFill="1" applyBorder="1" applyAlignment="1">
      <alignment horizontal="center" wrapText="1"/>
    </xf>
    <xf numFmtId="0" fontId="63" fillId="15" borderId="0" xfId="0" applyFont="1" applyFill="1" applyBorder="1" applyAlignment="1">
      <alignment wrapText="1"/>
    </xf>
    <xf numFmtId="0" fontId="4" fillId="0" borderId="8" xfId="0" applyFont="1" applyBorder="1" applyAlignment="1">
      <alignment wrapText="1"/>
    </xf>
    <xf numFmtId="0" fontId="4" fillId="0" borderId="8" xfId="0" applyFont="1" applyFill="1" applyBorder="1" applyAlignment="1">
      <alignment wrapText="1"/>
    </xf>
    <xf numFmtId="0" fontId="4" fillId="0" borderId="48" xfId="0" applyFont="1" applyFill="1" applyBorder="1" applyAlignment="1">
      <alignment wrapText="1"/>
    </xf>
    <xf numFmtId="0" fontId="4" fillId="0" borderId="6" xfId="0" applyFont="1" applyFill="1" applyBorder="1" applyAlignment="1">
      <alignment wrapText="1"/>
    </xf>
    <xf numFmtId="0" fontId="4" fillId="0" borderId="2" xfId="0" applyFont="1" applyFill="1" applyBorder="1" applyAlignment="1">
      <alignment wrapText="1"/>
    </xf>
    <xf numFmtId="0" fontId="5" fillId="7" borderId="13" xfId="0" applyFont="1" applyFill="1" applyBorder="1" applyAlignment="1" applyProtection="1">
      <alignment horizontal="left"/>
    </xf>
    <xf numFmtId="0" fontId="4" fillId="13" borderId="67" xfId="0" applyFont="1" applyFill="1" applyBorder="1" applyAlignment="1" applyProtection="1">
      <alignment horizontal="left"/>
    </xf>
    <xf numFmtId="0" fontId="4" fillId="13" borderId="68" xfId="0" applyFont="1" applyFill="1" applyBorder="1" applyAlignment="1" applyProtection="1">
      <alignment horizontal="left"/>
    </xf>
    <xf numFmtId="164" fontId="14" fillId="0" borderId="0" xfId="168" applyFont="1" applyFill="1"/>
    <xf numFmtId="0" fontId="4" fillId="0" borderId="0" xfId="66" applyFill="1" applyAlignment="1">
      <alignment horizontal="center"/>
    </xf>
    <xf numFmtId="0" fontId="4" fillId="0" borderId="0" xfId="66" applyBorder="1" applyAlignment="1">
      <alignment horizontal="center"/>
    </xf>
    <xf numFmtId="181" fontId="4" fillId="0" borderId="0" xfId="66" applyNumberFormat="1" applyBorder="1" applyAlignment="1">
      <alignment horizontal="center"/>
    </xf>
    <xf numFmtId="0" fontId="8" fillId="0" borderId="0" xfId="66" applyFont="1" applyFill="1" applyBorder="1" applyAlignment="1">
      <alignment horizontal="center"/>
    </xf>
    <xf numFmtId="177" fontId="4" fillId="0" borderId="0" xfId="66" applyNumberFormat="1" applyFont="1" applyBorder="1"/>
    <xf numFmtId="167" fontId="4" fillId="0" borderId="0" xfId="66" applyNumberFormat="1" applyFont="1" applyFill="1" applyBorder="1"/>
    <xf numFmtId="177" fontId="4" fillId="0" borderId="0" xfId="66" applyNumberFormat="1" applyFont="1" applyFill="1" applyBorder="1"/>
    <xf numFmtId="166" fontId="4" fillId="0" borderId="0" xfId="66" applyNumberFormat="1" applyFill="1" applyBorder="1" applyAlignment="1">
      <alignment horizontal="center"/>
    </xf>
    <xf numFmtId="0" fontId="4" fillId="0" borderId="15" xfId="66" applyBorder="1" applyAlignment="1">
      <alignment horizontal="center"/>
    </xf>
    <xf numFmtId="177" fontId="4" fillId="0" borderId="71" xfId="66" applyNumberFormat="1" applyFont="1" applyBorder="1"/>
    <xf numFmtId="177" fontId="4" fillId="0" borderId="20" xfId="66" applyNumberFormat="1" applyFont="1" applyBorder="1"/>
    <xf numFmtId="177" fontId="4" fillId="0" borderId="72" xfId="66" applyNumberFormat="1" applyFont="1" applyBorder="1"/>
    <xf numFmtId="177" fontId="21" fillId="0" borderId="0" xfId="66" applyNumberFormat="1" applyFont="1" applyFill="1" applyBorder="1" applyAlignment="1">
      <alignment horizontal="center" wrapText="1"/>
    </xf>
    <xf numFmtId="177" fontId="22" fillId="0" borderId="0" xfId="66" applyNumberFormat="1" applyFont="1" applyBorder="1" applyAlignment="1">
      <alignment horizontal="center"/>
    </xf>
    <xf numFmtId="177" fontId="4" fillId="0" borderId="0" xfId="66" applyNumberFormat="1" applyBorder="1"/>
    <xf numFmtId="177" fontId="4" fillId="0" borderId="73" xfId="66" applyNumberFormat="1" applyFont="1" applyBorder="1"/>
    <xf numFmtId="167" fontId="4" fillId="0" borderId="65" xfId="66" applyNumberFormat="1" applyFont="1" applyBorder="1"/>
    <xf numFmtId="177" fontId="4" fillId="0" borderId="65" xfId="66" applyNumberFormat="1" applyFont="1" applyBorder="1"/>
    <xf numFmtId="167" fontId="4" fillId="0" borderId="64" xfId="66" applyNumberFormat="1" applyFont="1" applyFill="1" applyBorder="1"/>
    <xf numFmtId="167" fontId="4" fillId="0" borderId="65" xfId="66" applyNumberFormat="1" applyFont="1" applyFill="1" applyBorder="1"/>
    <xf numFmtId="0" fontId="4" fillId="0" borderId="13" xfId="66" applyFill="1" applyBorder="1" applyAlignment="1">
      <alignment horizontal="center"/>
    </xf>
    <xf numFmtId="181" fontId="4" fillId="0" borderId="13" xfId="66" applyNumberFormat="1" applyFill="1" applyBorder="1" applyAlignment="1">
      <alignment horizontal="center"/>
    </xf>
    <xf numFmtId="0" fontId="8" fillId="0" borderId="13" xfId="66" applyFont="1" applyFill="1" applyBorder="1" applyAlignment="1">
      <alignment horizontal="center"/>
    </xf>
    <xf numFmtId="0" fontId="4" fillId="0" borderId="15" xfId="66" applyFill="1" applyBorder="1" applyAlignment="1">
      <alignment horizontal="center"/>
    </xf>
    <xf numFmtId="181" fontId="4" fillId="0" borderId="15" xfId="66" applyNumberFormat="1" applyFill="1" applyBorder="1" applyAlignment="1">
      <alignment horizontal="center"/>
    </xf>
    <xf numFmtId="0" fontId="8" fillId="0" borderId="15" xfId="66" applyFont="1" applyFill="1" applyBorder="1" applyAlignment="1">
      <alignment horizontal="center"/>
    </xf>
    <xf numFmtId="0" fontId="4" fillId="0" borderId="19" xfId="66" applyFill="1" applyBorder="1" applyAlignment="1">
      <alignment horizontal="center"/>
    </xf>
    <xf numFmtId="181" fontId="4" fillId="0" borderId="19" xfId="66" applyNumberFormat="1" applyFill="1" applyBorder="1" applyAlignment="1">
      <alignment horizontal="center"/>
    </xf>
    <xf numFmtId="0" fontId="8" fillId="0" borderId="19" xfId="66" applyFont="1" applyFill="1" applyBorder="1" applyAlignment="1">
      <alignment horizontal="center"/>
    </xf>
    <xf numFmtId="0" fontId="4" fillId="0" borderId="59" xfId="0" applyFont="1" applyFill="1" applyBorder="1" applyAlignment="1">
      <alignment horizontal="center"/>
    </xf>
    <xf numFmtId="0" fontId="0" fillId="0" borderId="0" xfId="0" applyAlignment="1">
      <alignment horizontal="left" wrapText="1"/>
    </xf>
    <xf numFmtId="198" fontId="0" fillId="0" borderId="62" xfId="0" applyNumberFormat="1" applyBorder="1" applyAlignment="1">
      <alignment horizontal="center"/>
    </xf>
    <xf numFmtId="198" fontId="4" fillId="0" borderId="62" xfId="0" applyNumberFormat="1" applyFont="1" applyBorder="1" applyAlignment="1">
      <alignment horizontal="center"/>
    </xf>
    <xf numFmtId="198" fontId="0" fillId="0" borderId="74" xfId="0" applyNumberFormat="1" applyBorder="1" applyAlignment="1">
      <alignment horizontal="center"/>
    </xf>
    <xf numFmtId="198" fontId="0" fillId="0" borderId="75" xfId="0" applyNumberFormat="1" applyBorder="1" applyAlignment="1">
      <alignment horizontal="center"/>
    </xf>
    <xf numFmtId="198" fontId="0" fillId="0" borderId="17" xfId="0" applyNumberFormat="1" applyBorder="1" applyAlignment="1">
      <alignment horizontal="center"/>
    </xf>
    <xf numFmtId="198" fontId="0" fillId="0" borderId="76" xfId="0" applyNumberFormat="1" applyBorder="1" applyAlignment="1">
      <alignment horizontal="center"/>
    </xf>
    <xf numFmtId="198" fontId="0" fillId="0" borderId="0" xfId="0" applyNumberFormat="1" applyAlignment="1">
      <alignment horizontal="left" wrapText="1"/>
    </xf>
    <xf numFmtId="192" fontId="6" fillId="2" borderId="6" xfId="0" applyNumberFormat="1" applyFont="1" applyFill="1" applyBorder="1" applyAlignment="1" applyProtection="1">
      <alignment horizontal="center"/>
    </xf>
    <xf numFmtId="0" fontId="4" fillId="13" borderId="77" xfId="0" applyFont="1" applyFill="1" applyBorder="1" applyAlignment="1">
      <alignment horizontal="center"/>
    </xf>
    <xf numFmtId="0" fontId="50" fillId="0" borderId="0" xfId="65" applyFont="1" applyBorder="1" applyAlignment="1">
      <alignment shrinkToFit="1"/>
    </xf>
    <xf numFmtId="0" fontId="50" fillId="0" borderId="0" xfId="65" applyFont="1" applyBorder="1" applyAlignment="1">
      <alignment wrapText="1"/>
    </xf>
    <xf numFmtId="0" fontId="50" fillId="0" borderId="0" xfId="65" applyFont="1" applyBorder="1" applyAlignment="1">
      <alignment vertical="center" wrapText="1"/>
    </xf>
    <xf numFmtId="0" fontId="52" fillId="14" borderId="0" xfId="0" applyFont="1" applyFill="1" applyBorder="1" applyAlignment="1"/>
    <xf numFmtId="0" fontId="53" fillId="14" borderId="0" xfId="0" applyFont="1" applyFill="1" applyBorder="1" applyAlignment="1"/>
    <xf numFmtId="0" fontId="57" fillId="14" borderId="0" xfId="0" applyFont="1" applyFill="1" applyBorder="1" applyAlignment="1"/>
    <xf numFmtId="0" fontId="0" fillId="14" borderId="0" xfId="0" applyFill="1" applyBorder="1"/>
    <xf numFmtId="0" fontId="64" fillId="14" borderId="86" xfId="0" applyFont="1" applyFill="1" applyBorder="1" applyAlignment="1">
      <alignment horizontal="left"/>
    </xf>
    <xf numFmtId="0" fontId="51" fillId="14" borderId="86" xfId="0" applyFont="1" applyFill="1" applyBorder="1" applyAlignment="1"/>
    <xf numFmtId="0" fontId="54" fillId="14" borderId="86" xfId="0" applyNumberFormat="1" applyFont="1" applyFill="1" applyBorder="1" applyAlignment="1"/>
    <xf numFmtId="0" fontId="0" fillId="14" borderId="86" xfId="0" applyFill="1" applyBorder="1"/>
    <xf numFmtId="0" fontId="64" fillId="14" borderId="0" xfId="0" applyFont="1" applyFill="1" applyAlignment="1">
      <alignment horizontal="left"/>
    </xf>
    <xf numFmtId="0" fontId="51" fillId="14" borderId="0" xfId="0" applyFont="1" applyFill="1" applyAlignment="1"/>
    <xf numFmtId="0" fontId="54" fillId="14" borderId="0" xfId="0" applyNumberFormat="1" applyFont="1" applyFill="1" applyAlignment="1"/>
    <xf numFmtId="0" fontId="0" fillId="14" borderId="0" xfId="0" applyFill="1"/>
    <xf numFmtId="0" fontId="65" fillId="14" borderId="0" xfId="0" applyFont="1" applyFill="1"/>
    <xf numFmtId="0" fontId="66" fillId="14" borderId="0" xfId="0" applyFont="1" applyFill="1"/>
    <xf numFmtId="0" fontId="50" fillId="14" borderId="0" xfId="164" applyFont="1" applyFill="1" applyBorder="1" applyAlignment="1">
      <alignment horizontal="left" vertical="center" wrapText="1"/>
    </xf>
    <xf numFmtId="0" fontId="67" fillId="14" borderId="0" xfId="0" applyFont="1" applyFill="1"/>
    <xf numFmtId="0" fontId="50" fillId="14" borderId="0" xfId="164" applyFont="1" applyFill="1" applyBorder="1" applyAlignment="1">
      <alignment horizontal="left" vertical="top" wrapText="1"/>
    </xf>
    <xf numFmtId="0" fontId="50" fillId="14" borderId="0" xfId="0" applyFont="1" applyFill="1" applyAlignment="1">
      <alignment horizontal="left" vertical="top" wrapText="1"/>
    </xf>
    <xf numFmtId="0" fontId="56" fillId="14" borderId="0" xfId="164" applyFont="1" applyFill="1" applyAlignment="1">
      <alignment horizontal="left" vertical="center" wrapText="1"/>
    </xf>
    <xf numFmtId="0" fontId="68" fillId="14" borderId="0" xfId="164" applyFont="1" applyFill="1" applyBorder="1" applyAlignment="1">
      <alignment horizontal="center" vertical="center"/>
    </xf>
    <xf numFmtId="0" fontId="50" fillId="14" borderId="0" xfId="0" applyFont="1" applyFill="1" applyBorder="1" applyAlignment="1">
      <alignment horizontal="center" vertical="center" wrapText="1"/>
    </xf>
    <xf numFmtId="171" fontId="68" fillId="14" borderId="0" xfId="1" applyFont="1" applyFill="1" applyBorder="1" applyAlignment="1">
      <alignment horizontal="center" vertical="center"/>
    </xf>
    <xf numFmtId="170" fontId="68" fillId="14" borderId="0" xfId="30" applyFont="1" applyFill="1" applyBorder="1" applyAlignment="1">
      <alignment horizontal="center" vertical="center"/>
    </xf>
    <xf numFmtId="170" fontId="68" fillId="14" borderId="0" xfId="30" applyFont="1" applyFill="1" applyBorder="1" applyAlignment="1">
      <alignment vertical="center"/>
    </xf>
    <xf numFmtId="0" fontId="68" fillId="14" borderId="0" xfId="164" applyNumberFormat="1" applyFont="1" applyFill="1" applyBorder="1" applyAlignment="1">
      <alignment horizontal="center" vertical="center"/>
    </xf>
    <xf numFmtId="0" fontId="69" fillId="14" borderId="0" xfId="164" applyFont="1" applyFill="1" applyBorder="1" applyAlignment="1">
      <alignment horizontal="center" vertical="center" wrapText="1"/>
    </xf>
    <xf numFmtId="0" fontId="70" fillId="0" borderId="0" xfId="0" applyFont="1" applyFill="1"/>
    <xf numFmtId="0" fontId="69" fillId="16" borderId="0" xfId="164" applyFont="1" applyFill="1" applyBorder="1" applyAlignment="1">
      <alignment vertical="center"/>
    </xf>
    <xf numFmtId="0" fontId="50" fillId="0" borderId="0" xfId="0" applyFont="1" applyBorder="1" applyAlignment="1">
      <alignment vertical="center" wrapText="1"/>
    </xf>
    <xf numFmtId="171" fontId="69" fillId="16" borderId="0" xfId="1" applyFont="1" applyFill="1" applyBorder="1" applyAlignment="1">
      <alignment vertical="center"/>
    </xf>
    <xf numFmtId="170" fontId="69" fillId="16" borderId="0" xfId="30" applyFont="1" applyFill="1" applyBorder="1" applyAlignment="1">
      <alignment vertical="center"/>
    </xf>
    <xf numFmtId="170" fontId="69" fillId="16" borderId="0" xfId="30" applyFont="1" applyFill="1" applyBorder="1" applyAlignment="1">
      <alignment horizontal="center" vertical="center"/>
    </xf>
    <xf numFmtId="0" fontId="68" fillId="16" borderId="0" xfId="164" applyNumberFormat="1" applyFont="1" applyFill="1" applyBorder="1" applyAlignment="1">
      <alignment horizontal="center" vertical="center"/>
    </xf>
    <xf numFmtId="0" fontId="69" fillId="16" borderId="0" xfId="164" applyFont="1" applyFill="1" applyBorder="1" applyAlignment="1">
      <alignment vertical="center" wrapText="1"/>
    </xf>
    <xf numFmtId="0" fontId="71" fillId="14" borderId="0" xfId="0" applyFont="1" applyFill="1"/>
    <xf numFmtId="0" fontId="56" fillId="14" borderId="0" xfId="164" applyFont="1" applyFill="1" applyAlignment="1">
      <alignment horizontal="left" vertical="center" wrapText="1"/>
    </xf>
    <xf numFmtId="0" fontId="69" fillId="14" borderId="0" xfId="164" applyFont="1" applyFill="1" applyBorder="1" applyAlignment="1">
      <alignment vertical="center" wrapText="1"/>
    </xf>
    <xf numFmtId="0" fontId="72" fillId="14" borderId="0" xfId="0" applyFont="1" applyFill="1" applyBorder="1" applyAlignment="1">
      <alignment horizontal="left" vertical="center"/>
    </xf>
    <xf numFmtId="0" fontId="73" fillId="14" borderId="0" xfId="0" applyFont="1" applyFill="1"/>
    <xf numFmtId="0" fontId="74" fillId="16" borderId="8" xfId="164" applyNumberFormat="1" applyFont="1" applyFill="1" applyBorder="1" applyAlignment="1">
      <alignment horizontal="center" vertical="center"/>
    </xf>
    <xf numFmtId="179" fontId="74" fillId="16" borderId="8" xfId="164" applyNumberFormat="1" applyFont="1" applyFill="1" applyBorder="1" applyAlignment="1">
      <alignment horizontal="center" vertical="center"/>
    </xf>
    <xf numFmtId="0" fontId="74" fillId="16" borderId="8" xfId="164" applyFont="1" applyFill="1" applyBorder="1" applyAlignment="1">
      <alignment horizontal="center" vertical="center"/>
    </xf>
    <xf numFmtId="171" fontId="74" fillId="16" borderId="8" xfId="1" applyFont="1" applyFill="1" applyBorder="1" applyAlignment="1">
      <alignment horizontal="center" vertical="center"/>
    </xf>
    <xf numFmtId="170" fontId="74" fillId="16" borderId="8" xfId="30" applyFont="1" applyFill="1" applyBorder="1" applyAlignment="1">
      <alignment horizontal="center" vertical="center"/>
    </xf>
    <xf numFmtId="170" fontId="74" fillId="16" borderId="8" xfId="30" applyFont="1" applyFill="1" applyBorder="1" applyAlignment="1">
      <alignment vertical="center"/>
    </xf>
    <xf numFmtId="0" fontId="75" fillId="14" borderId="0" xfId="0" applyFont="1" applyFill="1" applyBorder="1" applyAlignment="1">
      <alignment horizontal="left" vertical="center"/>
    </xf>
    <xf numFmtId="0" fontId="76" fillId="16" borderId="8" xfId="164" applyFont="1" applyFill="1" applyBorder="1" applyAlignment="1">
      <alignment horizontal="center" vertical="center"/>
    </xf>
    <xf numFmtId="171" fontId="77" fillId="16" borderId="8" xfId="2" applyFont="1" applyFill="1" applyBorder="1" applyAlignment="1">
      <alignment vertical="center"/>
    </xf>
    <xf numFmtId="170" fontId="77" fillId="16" borderId="8" xfId="32" applyFont="1" applyFill="1" applyBorder="1" applyAlignment="1">
      <alignment vertical="center"/>
    </xf>
    <xf numFmtId="0" fontId="77" fillId="16" borderId="8" xfId="164" applyNumberFormat="1" applyFont="1" applyFill="1" applyBorder="1" applyAlignment="1">
      <alignment horizontal="center" vertical="center"/>
    </xf>
    <xf numFmtId="0" fontId="14" fillId="0" borderId="0" xfId="0" applyFont="1"/>
    <xf numFmtId="173" fontId="77" fillId="16" borderId="8" xfId="2" applyNumberFormat="1" applyFont="1" applyFill="1" applyBorder="1" applyAlignment="1">
      <alignment vertical="center"/>
    </xf>
    <xf numFmtId="171" fontId="77" fillId="16" borderId="8" xfId="2" applyFont="1" applyFill="1" applyBorder="1" applyAlignment="1">
      <alignment horizontal="center" vertical="center"/>
    </xf>
    <xf numFmtId="170" fontId="77" fillId="16" borderId="8" xfId="32" applyFont="1" applyFill="1" applyBorder="1" applyAlignment="1">
      <alignment horizontal="center" vertical="center"/>
    </xf>
    <xf numFmtId="0" fontId="76" fillId="16" borderId="8" xfId="164" applyFont="1" applyFill="1" applyBorder="1" applyAlignment="1">
      <alignment horizontal="center" vertical="center" wrapText="1"/>
    </xf>
    <xf numFmtId="173" fontId="77" fillId="16" borderId="8" xfId="2" applyNumberFormat="1" applyFont="1" applyFill="1" applyBorder="1" applyAlignment="1">
      <alignment horizontal="center" vertical="center"/>
    </xf>
    <xf numFmtId="0" fontId="58" fillId="14" borderId="0" xfId="164" applyFont="1" applyFill="1" applyBorder="1" applyAlignment="1">
      <alignment horizontal="left" vertical="center" wrapText="1"/>
    </xf>
    <xf numFmtId="0" fontId="58" fillId="14" borderId="0" xfId="164" applyFont="1" applyFill="1" applyBorder="1" applyAlignment="1">
      <alignment vertical="center" wrapText="1"/>
    </xf>
    <xf numFmtId="0" fontId="14" fillId="14" borderId="0" xfId="0" applyFont="1" applyFill="1"/>
    <xf numFmtId="0" fontId="58" fillId="14" borderId="0" xfId="0" applyFont="1" applyFill="1" applyAlignment="1">
      <alignment horizontal="left" vertical="top" wrapText="1"/>
    </xf>
    <xf numFmtId="0" fontId="58" fillId="14" borderId="0" xfId="164" applyFont="1" applyFill="1" applyBorder="1" applyAlignment="1">
      <alignment horizontal="left" vertical="top" wrapText="1"/>
    </xf>
    <xf numFmtId="0" fontId="78" fillId="14" borderId="0" xfId="0" applyFont="1" applyFill="1"/>
    <xf numFmtId="0" fontId="79" fillId="14" borderId="56" xfId="65" applyFont="1" applyFill="1" applyBorder="1" applyAlignment="1">
      <alignment horizontal="left" vertical="center"/>
    </xf>
    <xf numFmtId="0" fontId="79" fillId="14" borderId="47" xfId="65" applyFont="1" applyFill="1" applyBorder="1" applyAlignment="1">
      <alignment horizontal="left" vertical="center"/>
    </xf>
    <xf numFmtId="0" fontId="79" fillId="14" borderId="5" xfId="65" applyFont="1" applyFill="1" applyBorder="1" applyAlignment="1">
      <alignment horizontal="left" vertical="center"/>
    </xf>
    <xf numFmtId="0" fontId="58" fillId="14" borderId="0" xfId="164" applyFont="1" applyFill="1" applyAlignment="1">
      <alignment vertical="center"/>
    </xf>
    <xf numFmtId="0" fontId="58" fillId="14" borderId="0" xfId="164" applyFont="1" applyFill="1"/>
    <xf numFmtId="170" fontId="58" fillId="14" borderId="0" xfId="30" applyFont="1" applyFill="1" applyBorder="1" applyAlignment="1"/>
    <xf numFmtId="3" fontId="58" fillId="14" borderId="0" xfId="0" applyNumberFormat="1" applyFont="1" applyFill="1" applyBorder="1" applyAlignment="1"/>
    <xf numFmtId="0" fontId="58" fillId="14" borderId="0" xfId="0" applyFont="1" applyFill="1" applyBorder="1" applyAlignment="1"/>
    <xf numFmtId="0" fontId="58" fillId="14" borderId="0" xfId="0" applyFont="1" applyFill="1" applyBorder="1" applyAlignment="1">
      <alignment horizontal="center"/>
    </xf>
    <xf numFmtId="0" fontId="58" fillId="14" borderId="0" xfId="0" applyFont="1" applyFill="1" applyAlignment="1">
      <alignment horizontal="left" vertical="center" wrapText="1"/>
    </xf>
    <xf numFmtId="0" fontId="58" fillId="14" borderId="0" xfId="0" applyFont="1" applyFill="1" applyBorder="1" applyAlignment="1">
      <alignment vertical="center"/>
    </xf>
    <xf numFmtId="0" fontId="58" fillId="14" borderId="0" xfId="0" applyFont="1" applyFill="1" applyBorder="1"/>
    <xf numFmtId="0" fontId="58" fillId="14" borderId="0" xfId="0" applyFont="1" applyFill="1" applyBorder="1" applyAlignment="1">
      <alignment horizontal="left" vertical="center"/>
    </xf>
    <xf numFmtId="0" fontId="58" fillId="14" borderId="0" xfId="0" applyFont="1" applyFill="1" applyBorder="1" applyAlignment="1">
      <alignment horizontal="center" vertical="center"/>
    </xf>
    <xf numFmtId="0" fontId="64" fillId="14" borderId="0" xfId="0" applyFont="1" applyFill="1" applyBorder="1" applyAlignment="1">
      <alignment horizontal="left"/>
    </xf>
    <xf numFmtId="0" fontId="51" fillId="14" borderId="0" xfId="0" applyFont="1" applyFill="1" applyBorder="1" applyAlignment="1"/>
    <xf numFmtId="0" fontId="54" fillId="14" borderId="0" xfId="0" applyNumberFormat="1" applyFont="1" applyFill="1" applyBorder="1" applyAlignment="1"/>
    <xf numFmtId="0" fontId="22" fillId="0" borderId="64" xfId="66" applyFont="1" applyBorder="1" applyAlignment="1">
      <alignment horizontal="center"/>
    </xf>
    <xf numFmtId="0" fontId="22" fillId="0" borderId="65" xfId="66" applyFont="1" applyBorder="1" applyAlignment="1">
      <alignment horizontal="center"/>
    </xf>
    <xf numFmtId="0" fontId="22" fillId="0" borderId="66" xfId="66" applyFont="1" applyBorder="1" applyAlignment="1">
      <alignment horizontal="center"/>
    </xf>
    <xf numFmtId="0" fontId="23" fillId="0" borderId="78" xfId="66" applyFont="1" applyBorder="1" applyAlignment="1">
      <alignment horizontal="center"/>
    </xf>
    <xf numFmtId="0" fontId="23" fillId="0" borderId="51" xfId="66" applyFont="1" applyBorder="1" applyAlignment="1">
      <alignment horizontal="center"/>
    </xf>
    <xf numFmtId="0" fontId="23" fillId="0" borderId="79" xfId="66" applyFont="1" applyBorder="1" applyAlignment="1">
      <alignment horizontal="center"/>
    </xf>
    <xf numFmtId="0" fontId="22" fillId="5" borderId="14" xfId="66" applyFont="1" applyFill="1" applyBorder="1" applyAlignment="1">
      <alignment horizontal="center"/>
    </xf>
    <xf numFmtId="0" fontId="22" fillId="5" borderId="24" xfId="66" applyFont="1" applyFill="1" applyBorder="1" applyAlignment="1">
      <alignment horizontal="center"/>
    </xf>
    <xf numFmtId="0" fontId="22" fillId="0" borderId="16" xfId="66" applyFont="1" applyBorder="1" applyAlignment="1">
      <alignment horizontal="center"/>
    </xf>
    <xf numFmtId="0" fontId="22" fillId="0" borderId="17" xfId="66" applyFont="1" applyBorder="1" applyAlignment="1">
      <alignment horizontal="center"/>
    </xf>
    <xf numFmtId="0" fontId="22" fillId="5" borderId="0" xfId="66" applyFont="1" applyFill="1" applyBorder="1" applyAlignment="1">
      <alignment horizontal="center"/>
    </xf>
    <xf numFmtId="0" fontId="21" fillId="0" borderId="13" xfId="66" applyFont="1" applyFill="1" applyBorder="1" applyAlignment="1">
      <alignment horizontal="center" wrapText="1"/>
    </xf>
    <xf numFmtId="0" fontId="21" fillId="0" borderId="15" xfId="66" applyFont="1" applyFill="1" applyBorder="1" applyAlignment="1">
      <alignment horizontal="center" wrapText="1"/>
    </xf>
    <xf numFmtId="0" fontId="21" fillId="0" borderId="19" xfId="66" applyFont="1" applyFill="1" applyBorder="1" applyAlignment="1">
      <alignment horizontal="center" wrapText="1"/>
    </xf>
    <xf numFmtId="0" fontId="22" fillId="0" borderId="14" xfId="66" applyFont="1" applyBorder="1" applyAlignment="1">
      <alignment horizontal="center"/>
    </xf>
    <xf numFmtId="0" fontId="22" fillId="0" borderId="0" xfId="66" applyFont="1" applyBorder="1" applyAlignment="1">
      <alignment horizontal="center"/>
    </xf>
    <xf numFmtId="0" fontId="21" fillId="0" borderId="64" xfId="66" applyFont="1" applyFill="1" applyBorder="1" applyAlignment="1">
      <alignment horizontal="center" vertical="top" wrapText="1"/>
    </xf>
    <xf numFmtId="0" fontId="21" fillId="0" borderId="65" xfId="66" applyFont="1" applyFill="1" applyBorder="1" applyAlignment="1">
      <alignment horizontal="center" vertical="top" wrapText="1"/>
    </xf>
    <xf numFmtId="0" fontId="21" fillId="0" borderId="66" xfId="66" applyFont="1" applyFill="1" applyBorder="1" applyAlignment="1">
      <alignment horizontal="center" vertical="top" wrapText="1"/>
    </xf>
    <xf numFmtId="0" fontId="21" fillId="0" borderId="18" xfId="66" applyFont="1" applyFill="1" applyBorder="1" applyAlignment="1">
      <alignment horizontal="center" vertical="top" wrapText="1"/>
    </xf>
    <xf numFmtId="0" fontId="21" fillId="0" borderId="20" xfId="66" applyFont="1" applyFill="1" applyBorder="1" applyAlignment="1">
      <alignment horizontal="center" vertical="top" wrapText="1"/>
    </xf>
    <xf numFmtId="0" fontId="21" fillId="0" borderId="21" xfId="66" applyFont="1" applyFill="1" applyBorder="1" applyAlignment="1">
      <alignment horizontal="center" vertical="top" wrapText="1"/>
    </xf>
    <xf numFmtId="0" fontId="21" fillId="0" borderId="10" xfId="66" applyFont="1" applyFill="1" applyBorder="1" applyAlignment="1">
      <alignment horizontal="right" vertical="center" wrapText="1"/>
    </xf>
    <xf numFmtId="0" fontId="21" fillId="0" borderId="80" xfId="66" applyFont="1" applyFill="1" applyBorder="1" applyAlignment="1">
      <alignment horizontal="right" vertical="center" wrapText="1"/>
    </xf>
    <xf numFmtId="0" fontId="22" fillId="0" borderId="10" xfId="66" applyFont="1" applyBorder="1" applyAlignment="1">
      <alignment horizontal="center"/>
    </xf>
    <xf numFmtId="0" fontId="22" fillId="0" borderId="80" xfId="66" applyFont="1" applyBorder="1" applyAlignment="1">
      <alignment horizontal="center"/>
    </xf>
    <xf numFmtId="0" fontId="22" fillId="0" borderId="23" xfId="66" applyFont="1" applyBorder="1" applyAlignment="1">
      <alignment horizontal="center"/>
    </xf>
    <xf numFmtId="0" fontId="5" fillId="0" borderId="10" xfId="66" applyFont="1" applyBorder="1" applyAlignment="1">
      <alignment horizontal="center" vertical="center"/>
    </xf>
    <xf numFmtId="0" fontId="5" fillId="0" borderId="23" xfId="66" applyFont="1" applyBorder="1" applyAlignment="1">
      <alignment horizontal="center" vertical="center"/>
    </xf>
    <xf numFmtId="0" fontId="5" fillId="0" borderId="13" xfId="66" applyFont="1" applyBorder="1" applyAlignment="1">
      <alignment horizontal="center" vertical="center"/>
    </xf>
    <xf numFmtId="0" fontId="5" fillId="0" borderId="15" xfId="66" applyFont="1" applyBorder="1" applyAlignment="1">
      <alignment horizontal="center" vertical="center"/>
    </xf>
    <xf numFmtId="0" fontId="5" fillId="0" borderId="19" xfId="66" applyFont="1" applyBorder="1" applyAlignment="1">
      <alignment horizontal="center" vertical="center"/>
    </xf>
    <xf numFmtId="0" fontId="5" fillId="0" borderId="48"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48"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164" fontId="27" fillId="4" borderId="56" xfId="168" applyFont="1" applyFill="1" applyBorder="1" applyAlignment="1" applyProtection="1">
      <alignment horizontal="center" wrapText="1"/>
    </xf>
    <xf numFmtId="164" fontId="27" fillId="4" borderId="47" xfId="168" applyFont="1" applyFill="1" applyBorder="1" applyAlignment="1" applyProtection="1">
      <alignment horizontal="center" wrapText="1"/>
    </xf>
    <xf numFmtId="164" fontId="27" fillId="4" borderId="5" xfId="168" applyFont="1" applyFill="1" applyBorder="1" applyAlignment="1" applyProtection="1">
      <alignment horizontal="center" wrapText="1"/>
    </xf>
    <xf numFmtId="0" fontId="5" fillId="13" borderId="48"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13" borderId="9" xfId="0" applyFont="1" applyFill="1" applyBorder="1" applyAlignment="1" applyProtection="1">
      <alignment horizontal="center" vertical="center"/>
    </xf>
    <xf numFmtId="0" fontId="5" fillId="0" borderId="4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45" fillId="11" borderId="10" xfId="0" applyFont="1" applyFill="1" applyBorder="1" applyAlignment="1">
      <alignment horizontal="center"/>
    </xf>
    <xf numFmtId="0" fontId="45" fillId="11" borderId="23" xfId="0" applyFont="1" applyFill="1" applyBorder="1" applyAlignment="1">
      <alignment horizontal="center"/>
    </xf>
    <xf numFmtId="0" fontId="82" fillId="14" borderId="56" xfId="65" applyFont="1" applyFill="1" applyBorder="1" applyAlignment="1">
      <alignment horizontal="left" vertical="center"/>
    </xf>
    <xf numFmtId="0" fontId="82" fillId="14" borderId="47" xfId="65" applyFont="1" applyFill="1" applyBorder="1" applyAlignment="1">
      <alignment horizontal="left" vertical="center"/>
    </xf>
    <xf numFmtId="0" fontId="82" fillId="14" borderId="5" xfId="65" applyFont="1" applyFill="1" applyBorder="1" applyAlignment="1">
      <alignment horizontal="left" vertical="center"/>
    </xf>
    <xf numFmtId="0" fontId="80" fillId="17" borderId="8" xfId="164" applyFont="1" applyFill="1" applyBorder="1" applyAlignment="1">
      <alignment horizontal="center" vertical="center" wrapText="1"/>
    </xf>
    <xf numFmtId="0" fontId="80" fillId="14" borderId="0" xfId="164" applyFont="1" applyFill="1" applyBorder="1" applyAlignment="1">
      <alignment horizontal="center" vertical="center" wrapText="1"/>
    </xf>
    <xf numFmtId="0" fontId="58" fillId="14" borderId="0" xfId="164" applyFont="1" applyFill="1" applyBorder="1" applyAlignment="1">
      <alignment horizontal="left" vertical="top" wrapText="1"/>
    </xf>
    <xf numFmtId="0" fontId="58" fillId="14" borderId="0" xfId="0" applyFont="1" applyFill="1" applyAlignment="1">
      <alignment horizontal="left" vertical="top" wrapText="1"/>
    </xf>
    <xf numFmtId="0" fontId="56" fillId="14" borderId="0" xfId="164" applyFont="1" applyFill="1" applyAlignment="1">
      <alignment horizontal="left" vertical="center" wrapText="1"/>
    </xf>
    <xf numFmtId="0" fontId="79" fillId="14" borderId="56" xfId="65" applyFont="1" applyFill="1" applyBorder="1" applyAlignment="1">
      <alignment horizontal="left" vertical="center" wrapText="1"/>
    </xf>
    <xf numFmtId="0" fontId="79" fillId="14" borderId="47" xfId="65" applyFont="1" applyFill="1" applyBorder="1" applyAlignment="1">
      <alignment horizontal="left" vertical="center" wrapText="1"/>
    </xf>
    <xf numFmtId="0" fontId="79" fillId="14" borderId="5" xfId="65" applyFont="1" applyFill="1" applyBorder="1" applyAlignment="1">
      <alignment horizontal="left" vertical="center" wrapText="1"/>
    </xf>
    <xf numFmtId="0" fontId="82" fillId="14" borderId="56" xfId="65" applyFont="1" applyFill="1" applyBorder="1" applyAlignment="1">
      <alignment horizontal="left" vertical="center" wrapText="1"/>
    </xf>
    <xf numFmtId="0" fontId="82" fillId="14" borderId="47" xfId="65" applyFont="1" applyFill="1" applyBorder="1" applyAlignment="1">
      <alignment horizontal="left" vertical="center" wrapText="1"/>
    </xf>
    <xf numFmtId="0" fontId="82" fillId="14" borderId="5" xfId="65" applyFont="1" applyFill="1" applyBorder="1" applyAlignment="1">
      <alignment horizontal="left" vertical="center" wrapText="1"/>
    </xf>
    <xf numFmtId="0" fontId="81" fillId="0" borderId="51" xfId="0" applyFont="1" applyFill="1" applyBorder="1" applyAlignment="1">
      <alignment horizontal="left"/>
    </xf>
    <xf numFmtId="0" fontId="81" fillId="0" borderId="0" xfId="0" applyFont="1" applyFill="1" applyBorder="1" applyAlignment="1">
      <alignment horizontal="left"/>
    </xf>
    <xf numFmtId="0" fontId="58" fillId="0" borderId="56"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5" xfId="0" applyFont="1" applyBorder="1" applyAlignment="1">
      <alignment horizontal="center" vertical="center" wrapText="1"/>
    </xf>
    <xf numFmtId="0" fontId="81" fillId="0" borderId="51" xfId="0" applyFont="1" applyFill="1" applyBorder="1" applyAlignment="1">
      <alignment horizontal="left" vertical="center"/>
    </xf>
    <xf numFmtId="0" fontId="81" fillId="0" borderId="0" xfId="0" applyFont="1" applyFill="1" applyBorder="1" applyAlignment="1">
      <alignment horizontal="left" vertical="center"/>
    </xf>
    <xf numFmtId="0" fontId="58" fillId="14" borderId="0" xfId="0" applyFont="1" applyFill="1" applyAlignment="1">
      <alignment horizontal="left" vertical="center" wrapText="1"/>
    </xf>
    <xf numFmtId="0" fontId="58" fillId="14" borderId="0" xfId="0" applyFont="1" applyFill="1" applyAlignment="1">
      <alignment horizontal="left" vertical="center"/>
    </xf>
    <xf numFmtId="0" fontId="55" fillId="0" borderId="56" xfId="0" applyFont="1" applyBorder="1" applyAlignment="1">
      <alignment horizontal="center" vertical="center" wrapText="1"/>
    </xf>
    <xf numFmtId="0" fontId="55" fillId="0" borderId="47" xfId="0" applyFont="1" applyBorder="1" applyAlignment="1">
      <alignment horizontal="center" vertical="center" wrapText="1"/>
    </xf>
    <xf numFmtId="0" fontId="55" fillId="0" borderId="5" xfId="0" applyFont="1" applyBorder="1" applyAlignment="1">
      <alignment horizontal="center" vertical="center" wrapText="1"/>
    </xf>
    <xf numFmtId="0" fontId="58" fillId="14" borderId="0" xfId="164" applyFont="1" applyFill="1" applyBorder="1" applyAlignment="1">
      <alignment horizontal="left" vertical="center" wrapText="1"/>
    </xf>
    <xf numFmtId="0" fontId="59" fillId="14" borderId="0" xfId="164" applyFont="1" applyFill="1" applyBorder="1" applyAlignment="1">
      <alignment horizontal="left" vertical="center" wrapText="1"/>
    </xf>
    <xf numFmtId="3" fontId="1" fillId="0" borderId="56" xfId="30" applyNumberFormat="1" applyFill="1" applyBorder="1" applyAlignment="1">
      <alignment horizontal="center" vertical="center" wrapText="1"/>
    </xf>
    <xf numFmtId="3" fontId="1" fillId="0" borderId="47" xfId="30" applyNumberFormat="1" applyFill="1" applyBorder="1" applyAlignment="1">
      <alignment horizontal="center" vertical="center" wrapText="1"/>
    </xf>
    <xf numFmtId="3" fontId="1" fillId="0" borderId="5" xfId="30" applyNumberFormat="1" applyFill="1" applyBorder="1" applyAlignment="1">
      <alignment horizontal="center" vertical="center" wrapText="1"/>
    </xf>
    <xf numFmtId="0" fontId="0" fillId="0" borderId="0" xfId="0" applyAlignment="1">
      <alignment horizontal="center" wrapText="1"/>
    </xf>
    <xf numFmtId="0" fontId="0" fillId="0" borderId="51" xfId="0" applyBorder="1" applyAlignment="1">
      <alignment horizontal="center"/>
    </xf>
    <xf numFmtId="0" fontId="0" fillId="0" borderId="51" xfId="0" applyBorder="1" applyAlignment="1">
      <alignment horizontal="center" wrapText="1"/>
    </xf>
    <xf numFmtId="186" fontId="4" fillId="7" borderId="90" xfId="0" applyNumberFormat="1" applyFont="1" applyFill="1" applyBorder="1" applyAlignment="1">
      <alignment horizontal="center" vertical="center" wrapText="1"/>
    </xf>
    <xf numFmtId="186" fontId="4" fillId="7" borderId="91" xfId="0" applyNumberFormat="1" applyFont="1" applyFill="1" applyBorder="1" applyAlignment="1">
      <alignment horizontal="center" vertical="center" wrapText="1"/>
    </xf>
    <xf numFmtId="186" fontId="4" fillId="7" borderId="92" xfId="0" applyNumberFormat="1" applyFont="1" applyFill="1" applyBorder="1" applyAlignment="1">
      <alignment horizontal="center" vertical="center" wrapText="1"/>
    </xf>
    <xf numFmtId="0" fontId="31" fillId="12" borderId="53" xfId="0" applyFont="1" applyFill="1" applyBorder="1" applyAlignment="1">
      <alignment wrapText="1"/>
    </xf>
    <xf numFmtId="0" fontId="31" fillId="12" borderId="49" xfId="0" applyFont="1" applyFill="1" applyBorder="1" applyAlignment="1">
      <alignment wrapText="1"/>
    </xf>
    <xf numFmtId="0" fontId="31" fillId="12" borderId="50" xfId="0" applyFont="1" applyFill="1" applyBorder="1" applyAlignment="1">
      <alignment wrapText="1"/>
    </xf>
    <xf numFmtId="0" fontId="31" fillId="12" borderId="56" xfId="0" applyFont="1" applyFill="1" applyBorder="1" applyAlignment="1">
      <alignment wrapText="1"/>
    </xf>
    <xf numFmtId="0" fontId="31" fillId="12" borderId="47" xfId="0" applyFont="1" applyFill="1" applyBorder="1" applyAlignment="1">
      <alignment wrapText="1"/>
    </xf>
    <xf numFmtId="0" fontId="31" fillId="12" borderId="5" xfId="0" applyFont="1" applyFill="1" applyBorder="1" applyAlignment="1">
      <alignment wrapText="1"/>
    </xf>
    <xf numFmtId="186" fontId="4" fillId="13" borderId="105" xfId="0" applyNumberFormat="1" applyFont="1" applyFill="1" applyBorder="1" applyAlignment="1">
      <alignment horizontal="center" vertical="center" wrapText="1"/>
    </xf>
    <xf numFmtId="186" fontId="4" fillId="13" borderId="106" xfId="0" applyNumberFormat="1" applyFont="1" applyFill="1" applyBorder="1" applyAlignment="1">
      <alignment horizontal="center" vertical="center" wrapText="1"/>
    </xf>
    <xf numFmtId="186" fontId="4" fillId="13" borderId="107" xfId="0" applyNumberFormat="1" applyFont="1" applyFill="1" applyBorder="1" applyAlignment="1">
      <alignment horizontal="center" vertical="center" wrapText="1"/>
    </xf>
    <xf numFmtId="0" fontId="9" fillId="0" borderId="0" xfId="0" applyFont="1" applyAlignment="1">
      <alignment wrapText="1"/>
    </xf>
    <xf numFmtId="0" fontId="9" fillId="0" borderId="56" xfId="0" applyFont="1" applyBorder="1" applyAlignment="1">
      <alignment horizontal="left" vertical="center" wrapText="1" indent="1"/>
    </xf>
    <xf numFmtId="0" fontId="9" fillId="0" borderId="47" xfId="0" applyFont="1" applyBorder="1" applyAlignment="1">
      <alignment horizontal="left" vertical="center" wrapText="1" indent="1"/>
    </xf>
    <xf numFmtId="0" fontId="9" fillId="0" borderId="5" xfId="0" applyFont="1" applyBorder="1" applyAlignment="1">
      <alignment horizontal="left" vertical="center" wrapText="1" indent="1"/>
    </xf>
    <xf numFmtId="0" fontId="22" fillId="0" borderId="8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4" xfId="0" applyFont="1" applyBorder="1" applyAlignment="1">
      <alignment horizontal="center" vertical="center" wrapText="1"/>
    </xf>
    <xf numFmtId="0" fontId="0" fillId="0" borderId="16" xfId="0" applyBorder="1" applyAlignment="1">
      <alignment wrapText="1"/>
    </xf>
    <xf numFmtId="0" fontId="0" fillId="0" borderId="0" xfId="0" applyBorder="1" applyAlignment="1">
      <alignment wrapText="1"/>
    </xf>
    <xf numFmtId="0" fontId="0" fillId="0" borderId="18" xfId="0" applyBorder="1" applyAlignment="1">
      <alignment horizontal="left" wrapText="1"/>
    </xf>
    <xf numFmtId="0" fontId="0" fillId="0" borderId="20" xfId="0" applyBorder="1" applyAlignment="1">
      <alignment horizontal="left" wrapText="1"/>
    </xf>
    <xf numFmtId="0" fontId="0" fillId="0" borderId="20" xfId="0" applyBorder="1" applyAlignment="1">
      <alignment wrapText="1"/>
    </xf>
    <xf numFmtId="0" fontId="0" fillId="0" borderId="83" xfId="0" applyBorder="1" applyAlignment="1">
      <alignment wrapText="1"/>
    </xf>
    <xf numFmtId="0" fontId="0" fillId="0" borderId="99" xfId="0" applyBorder="1" applyAlignment="1">
      <alignment horizontal="left" wrapText="1"/>
    </xf>
    <xf numFmtId="0" fontId="0" fillId="0" borderId="91" xfId="0" applyBorder="1" applyAlignment="1">
      <alignment horizontal="left" wrapText="1"/>
    </xf>
    <xf numFmtId="0" fontId="0" fillId="0" borderId="91" xfId="0" applyBorder="1" applyAlignment="1">
      <alignment wrapText="1"/>
    </xf>
    <xf numFmtId="0" fontId="0" fillId="0" borderId="92" xfId="0" applyBorder="1" applyAlignment="1">
      <alignment wrapText="1"/>
    </xf>
    <xf numFmtId="186" fontId="4" fillId="13" borderId="90" xfId="0" applyNumberFormat="1" applyFont="1" applyFill="1" applyBorder="1" applyAlignment="1">
      <alignment horizontal="center" vertical="center" wrapText="1"/>
    </xf>
    <xf numFmtId="186" fontId="4" fillId="13" borderId="91" xfId="0" applyNumberFormat="1" applyFont="1" applyFill="1" applyBorder="1" applyAlignment="1">
      <alignment horizontal="center" vertical="center" wrapText="1"/>
    </xf>
    <xf numFmtId="186" fontId="4" fillId="13" borderId="92" xfId="0" applyNumberFormat="1" applyFont="1" applyFill="1" applyBorder="1" applyAlignment="1">
      <alignment horizontal="center" vertical="center" wrapText="1"/>
    </xf>
    <xf numFmtId="0" fontId="22" fillId="0" borderId="93" xfId="0" applyFont="1" applyBorder="1" applyAlignment="1">
      <alignment horizontal="left" vertical="center" wrapText="1" indent="1"/>
    </xf>
    <xf numFmtId="0" fontId="22" fillId="0" borderId="88" xfId="0" applyFont="1" applyBorder="1" applyAlignment="1">
      <alignment horizontal="left" vertical="center" wrapText="1" indent="1"/>
    </xf>
    <xf numFmtId="0" fontId="9" fillId="0" borderId="0" xfId="0" applyFont="1" applyAlignment="1">
      <alignment vertical="center" wrapText="1"/>
    </xf>
    <xf numFmtId="0" fontId="7" fillId="0" borderId="85" xfId="0" applyFont="1" applyBorder="1" applyAlignment="1">
      <alignment horizontal="left" vertical="center" wrapText="1" indent="1"/>
    </xf>
    <xf numFmtId="0" fontId="7" fillId="0" borderId="51" xfId="0" applyFont="1" applyBorder="1" applyAlignment="1">
      <alignment horizontal="left" vertical="center" wrapText="1" indent="1"/>
    </xf>
    <xf numFmtId="0" fontId="7" fillId="0" borderId="52" xfId="0" applyFont="1" applyBorder="1" applyAlignment="1">
      <alignment horizontal="left" vertical="center" wrapText="1" indent="1"/>
    </xf>
    <xf numFmtId="0" fontId="31" fillId="12" borderId="16" xfId="0" applyFont="1" applyFill="1" applyBorder="1" applyAlignment="1">
      <alignment wrapText="1"/>
    </xf>
    <xf numFmtId="0" fontId="31" fillId="12" borderId="0" xfId="0" applyFont="1" applyFill="1" applyBorder="1" applyAlignment="1">
      <alignment wrapText="1"/>
    </xf>
    <xf numFmtId="0" fontId="7" fillId="0" borderId="104" xfId="0" applyFont="1" applyBorder="1" applyAlignment="1">
      <alignment horizontal="left" vertical="center" wrapText="1" indent="1"/>
    </xf>
    <xf numFmtId="0" fontId="7" fillId="0" borderId="49"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53" xfId="0" applyFont="1" applyBorder="1" applyAlignment="1">
      <alignment horizontal="left" vertical="center" wrapText="1" indent="1"/>
    </xf>
    <xf numFmtId="0" fontId="7" fillId="0" borderId="101" xfId="0" applyFont="1" applyBorder="1" applyAlignment="1">
      <alignment horizontal="left" vertical="center" wrapText="1" indent="1"/>
    </xf>
    <xf numFmtId="0" fontId="7" fillId="0" borderId="102" xfId="0" applyFont="1" applyBorder="1" applyAlignment="1">
      <alignment horizontal="left" vertical="center" wrapText="1" indent="1"/>
    </xf>
    <xf numFmtId="0" fontId="7" fillId="0" borderId="103" xfId="0" applyFont="1" applyBorder="1" applyAlignment="1">
      <alignment horizontal="left" vertical="center" wrapText="1" indent="1"/>
    </xf>
    <xf numFmtId="0" fontId="5" fillId="0" borderId="10" xfId="0" applyFont="1" applyBorder="1" applyAlignment="1">
      <alignment horizontal="center" vertical="center" wrapText="1"/>
    </xf>
    <xf numFmtId="0" fontId="5" fillId="0" borderId="80" xfId="0" applyFont="1" applyBorder="1" applyAlignment="1">
      <alignment horizontal="center" vertical="center" wrapText="1"/>
    </xf>
    <xf numFmtId="0" fontId="0" fillId="0" borderId="80" xfId="0" applyBorder="1" applyAlignment="1">
      <alignment horizontal="center" vertical="center" wrapText="1"/>
    </xf>
    <xf numFmtId="0" fontId="0" fillId="0" borderId="82" xfId="0" applyBorder="1" applyAlignment="1">
      <alignment horizontal="center" vertical="center" wrapText="1"/>
    </xf>
    <xf numFmtId="0" fontId="0" fillId="0" borderId="94" xfId="0" applyBorder="1" applyAlignment="1">
      <alignment horizontal="left" wrapText="1"/>
    </xf>
    <xf numFmtId="0" fontId="0" fillId="0" borderId="88" xfId="0" applyBorder="1" applyAlignment="1">
      <alignment horizontal="left" wrapText="1"/>
    </xf>
    <xf numFmtId="0" fontId="0" fillId="0" borderId="88" xfId="0" applyBorder="1" applyAlignment="1">
      <alignment wrapText="1"/>
    </xf>
    <xf numFmtId="0" fontId="0" fillId="0" borderId="89" xfId="0" applyBorder="1" applyAlignment="1">
      <alignment wrapText="1"/>
    </xf>
    <xf numFmtId="0" fontId="22" fillId="0" borderId="57" xfId="0" applyFont="1" applyBorder="1" applyAlignment="1">
      <alignment horizontal="left" vertical="center" wrapText="1" indent="1"/>
    </xf>
    <xf numFmtId="0" fontId="22" fillId="0" borderId="51" xfId="0" applyFont="1" applyBorder="1" applyAlignment="1">
      <alignment horizontal="left" vertical="center" wrapText="1" indent="1"/>
    </xf>
    <xf numFmtId="0" fontId="22" fillId="0" borderId="95" xfId="0" applyFont="1" applyBorder="1" applyAlignment="1">
      <alignment horizontal="left" vertical="center" wrapText="1" indent="1"/>
    </xf>
    <xf numFmtId="0" fontId="5" fillId="0" borderId="81" xfId="0" applyFont="1" applyBorder="1" applyAlignment="1">
      <alignment horizontal="center" vertical="center" wrapText="1"/>
    </xf>
    <xf numFmtId="0" fontId="0" fillId="0" borderId="23" xfId="0" applyBorder="1" applyAlignment="1">
      <alignment horizontal="center" vertical="center" wrapText="1"/>
    </xf>
    <xf numFmtId="186" fontId="4" fillId="7" borderId="96" xfId="0" applyNumberFormat="1" applyFont="1" applyFill="1" applyBorder="1" applyAlignment="1">
      <alignment horizontal="center" vertical="center" wrapText="1"/>
    </xf>
    <xf numFmtId="186" fontId="4" fillId="7" borderId="97" xfId="0" applyNumberFormat="1" applyFont="1" applyFill="1" applyBorder="1" applyAlignment="1">
      <alignment horizontal="center" vertical="center" wrapText="1"/>
    </xf>
    <xf numFmtId="186" fontId="4" fillId="7" borderId="98" xfId="0" applyNumberFormat="1" applyFont="1" applyFill="1" applyBorder="1" applyAlignment="1">
      <alignment horizontal="center" vertical="center" wrapText="1"/>
    </xf>
    <xf numFmtId="0" fontId="4" fillId="0" borderId="56" xfId="0" applyFont="1" applyBorder="1" applyAlignment="1">
      <alignment horizontal="left" wrapText="1" indent="1"/>
    </xf>
    <xf numFmtId="0" fontId="4" fillId="0" borderId="47" xfId="0" applyFont="1" applyBorder="1" applyAlignment="1">
      <alignment horizontal="left" wrapText="1" indent="1"/>
    </xf>
    <xf numFmtId="0" fontId="4" fillId="0" borderId="100" xfId="0" applyFont="1" applyBorder="1" applyAlignment="1">
      <alignment horizontal="left" indent="1"/>
    </xf>
    <xf numFmtId="0" fontId="4" fillId="0" borderId="47" xfId="0" applyFont="1" applyBorder="1" applyAlignment="1">
      <alignment horizontal="left" indent="1"/>
    </xf>
    <xf numFmtId="0" fontId="4" fillId="0" borderId="5" xfId="0" applyFont="1" applyBorder="1" applyAlignment="1">
      <alignment horizontal="left" indent="1"/>
    </xf>
    <xf numFmtId="172" fontId="1" fillId="10" borderId="56" xfId="30" applyNumberFormat="1" applyFont="1" applyFill="1" applyBorder="1" applyAlignment="1">
      <alignment horizontal="center" vertical="center" wrapText="1"/>
    </xf>
    <xf numFmtId="172" fontId="1" fillId="10" borderId="47" xfId="30" applyNumberFormat="1" applyFont="1" applyFill="1" applyBorder="1" applyAlignment="1">
      <alignment horizontal="center" vertical="center" wrapText="1"/>
    </xf>
    <xf numFmtId="172" fontId="1" fillId="10" borderId="5" xfId="30" applyNumberFormat="1" applyFont="1" applyFill="1" applyBorder="1" applyAlignment="1">
      <alignment horizontal="center" vertical="center" wrapText="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89" xfId="0" applyFont="1" applyBorder="1" applyAlignment="1">
      <alignment horizontal="center" vertical="center" wrapText="1"/>
    </xf>
    <xf numFmtId="0" fontId="12" fillId="0" borderId="51" xfId="0" applyFont="1" applyBorder="1" applyAlignment="1">
      <alignment horizontal="center" wrapText="1"/>
    </xf>
    <xf numFmtId="172" fontId="1" fillId="0" borderId="56" xfId="30" applyNumberFormat="1" applyFill="1" applyBorder="1" applyAlignment="1">
      <alignment horizontal="center" vertical="center" wrapText="1"/>
    </xf>
    <xf numFmtId="172" fontId="1" fillId="0" borderId="47" xfId="30" applyNumberFormat="1" applyFill="1" applyBorder="1" applyAlignment="1">
      <alignment horizontal="center" vertical="center" wrapText="1"/>
    </xf>
    <xf numFmtId="172" fontId="1" fillId="0" borderId="5" xfId="30" applyNumberFormat="1" applyFill="1" applyBorder="1" applyAlignment="1">
      <alignment horizontal="center" vertical="center" wrapText="1"/>
    </xf>
    <xf numFmtId="0" fontId="22" fillId="0" borderId="93" xfId="0" applyFont="1" applyFill="1" applyBorder="1" applyAlignment="1">
      <alignment horizontal="left" vertical="center" wrapText="1" indent="1"/>
    </xf>
    <xf numFmtId="0" fontId="22" fillId="0" borderId="88" xfId="0" applyFont="1" applyFill="1" applyBorder="1" applyAlignment="1">
      <alignment horizontal="left" vertical="center" wrapText="1" indent="1"/>
    </xf>
  </cellXfs>
  <cellStyles count="191">
    <cellStyle name="Comma" xfId="1" builtinId="3"/>
    <cellStyle name="Comma 10" xfId="2"/>
    <cellStyle name="Comma 10 2" xfId="3"/>
    <cellStyle name="Comma 11" xfId="4"/>
    <cellStyle name="Comma 11 2" xfId="5"/>
    <cellStyle name="Comma 12" xfId="6"/>
    <cellStyle name="Comma 13" xfId="7"/>
    <cellStyle name="Comma 13 2" xfId="8"/>
    <cellStyle name="Comma 14" xfId="9"/>
    <cellStyle name="Comma 14 2" xfId="10"/>
    <cellStyle name="Comma 15" xfId="11"/>
    <cellStyle name="Comma 2" xfId="12"/>
    <cellStyle name="Comma 3" xfId="13"/>
    <cellStyle name="Comma 3 2" xfId="14"/>
    <cellStyle name="Comma 3 3" xfId="15"/>
    <cellStyle name="Comma 4" xfId="16"/>
    <cellStyle name="Comma 4 2" xfId="17"/>
    <cellStyle name="Comma 4 3" xfId="18"/>
    <cellStyle name="Comma 5" xfId="19"/>
    <cellStyle name="Comma 5 2" xfId="20"/>
    <cellStyle name="Comma 6" xfId="21"/>
    <cellStyle name="Comma 6 2" xfId="22"/>
    <cellStyle name="Comma 7" xfId="23"/>
    <cellStyle name="Comma 7 2" xfId="24"/>
    <cellStyle name="Comma 8" xfId="25"/>
    <cellStyle name="Comma 9" xfId="26"/>
    <cellStyle name="Comma 9 2" xfId="27"/>
    <cellStyle name="Comma 9 3" xfId="28"/>
    <cellStyle name="Comma 9 4" xfId="29"/>
    <cellStyle name="Currency" xfId="30" builtinId="4"/>
    <cellStyle name="Currency 10" xfId="31"/>
    <cellStyle name="Currency 10 2" xfId="32"/>
    <cellStyle name="Currency 10 3" xfId="33"/>
    <cellStyle name="Currency 10 4" xfId="34"/>
    <cellStyle name="Currency 11" xfId="35"/>
    <cellStyle name="Currency 11 2" xfId="36"/>
    <cellStyle name="Currency 11 3" xfId="37"/>
    <cellStyle name="Currency 12" xfId="38"/>
    <cellStyle name="Currency 12 2" xfId="39"/>
    <cellStyle name="Currency 13" xfId="40"/>
    <cellStyle name="Currency 14" xfId="41"/>
    <cellStyle name="Currency 14 2" xfId="42"/>
    <cellStyle name="Currency 15" xfId="43"/>
    <cellStyle name="Currency 15 2" xfId="44"/>
    <cellStyle name="Currency 16" xfId="45"/>
    <cellStyle name="Currency 2" xfId="46"/>
    <cellStyle name="Currency 2 2" xfId="47"/>
    <cellStyle name="Currency 2 3" xfId="48"/>
    <cellStyle name="Currency 3" xfId="49"/>
    <cellStyle name="Currency 4" xfId="50"/>
    <cellStyle name="Currency 5" xfId="51"/>
    <cellStyle name="Currency 5 2" xfId="52"/>
    <cellStyle name="Currency 6" xfId="53"/>
    <cellStyle name="Currency 6 2" xfId="54"/>
    <cellStyle name="Currency 7" xfId="55"/>
    <cellStyle name="Currency 7 2" xfId="56"/>
    <cellStyle name="Currency 8" xfId="57"/>
    <cellStyle name="Currency 8 2" xfId="58"/>
    <cellStyle name="Currency 9" xfId="59"/>
    <cellStyle name="Currency 9 2" xfId="60"/>
    <cellStyle name="Currency 9 3" xfId="61"/>
    <cellStyle name="Hyperlink 2" xfId="62"/>
    <cellStyle name="Hyperlink 3" xfId="63"/>
    <cellStyle name="Normal" xfId="0" builtinId="0"/>
    <cellStyle name="Normal 10" xfId="64"/>
    <cellStyle name="Normal 10 2" xfId="65"/>
    <cellStyle name="Normal 2" xfId="66"/>
    <cellStyle name="Normal 3" xfId="67"/>
    <cellStyle name="Normal 3 10" xfId="68"/>
    <cellStyle name="Normal 3 11" xfId="69"/>
    <cellStyle name="Normal 3 11 2" xfId="70"/>
    <cellStyle name="Normal 3 12" xfId="71"/>
    <cellStyle name="Normal 3 12 2" xfId="72"/>
    <cellStyle name="Normal 3 13" xfId="73"/>
    <cellStyle name="Normal 3 2" xfId="74"/>
    <cellStyle name="Normal 3 3" xfId="75"/>
    <cellStyle name="Normal 3 3 2" xfId="76"/>
    <cellStyle name="Normal 3 4" xfId="77"/>
    <cellStyle name="Normal 3 4 2" xfId="78"/>
    <cellStyle name="Normal 3 5" xfId="79"/>
    <cellStyle name="Normal 3 5 2" xfId="80"/>
    <cellStyle name="Normal 3 6" xfId="81"/>
    <cellStyle name="Normal 3 6 2" xfId="82"/>
    <cellStyle name="Normal 3 7" xfId="83"/>
    <cellStyle name="Normal 3 7 2" xfId="84"/>
    <cellStyle name="Normal 3 7 3" xfId="85"/>
    <cellStyle name="Normal 3 7 4" xfId="86"/>
    <cellStyle name="Normal 3 8" xfId="87"/>
    <cellStyle name="Normal 3 8 2" xfId="88"/>
    <cellStyle name="Normal 3 9" xfId="89"/>
    <cellStyle name="Normal 3 9 2" xfId="90"/>
    <cellStyle name="Normal 4" xfId="91"/>
    <cellStyle name="Normal 4 10" xfId="92"/>
    <cellStyle name="Normal 4 11" xfId="93"/>
    <cellStyle name="Normal 4 11 2" xfId="94"/>
    <cellStyle name="Normal 4 12" xfId="95"/>
    <cellStyle name="Normal 4 12 2" xfId="96"/>
    <cellStyle name="Normal 4 13" xfId="97"/>
    <cellStyle name="Normal 4 2" xfId="98"/>
    <cellStyle name="Normal 4 3" xfId="99"/>
    <cellStyle name="Normal 4 3 2" xfId="100"/>
    <cellStyle name="Normal 4 4" xfId="101"/>
    <cellStyle name="Normal 4 4 2" xfId="102"/>
    <cellStyle name="Normal 4 5" xfId="103"/>
    <cellStyle name="Normal 4 5 2" xfId="104"/>
    <cellStyle name="Normal 4 6" xfId="105"/>
    <cellStyle name="Normal 4 6 2" xfId="106"/>
    <cellStyle name="Normal 4 7" xfId="107"/>
    <cellStyle name="Normal 4 7 2" xfId="108"/>
    <cellStyle name="Normal 4 7 3" xfId="109"/>
    <cellStyle name="Normal 4 7 4" xfId="110"/>
    <cellStyle name="Normal 4 8" xfId="111"/>
    <cellStyle name="Normal 4 8 2" xfId="112"/>
    <cellStyle name="Normal 4 9" xfId="113"/>
    <cellStyle name="Normal 4 9 2" xfId="114"/>
    <cellStyle name="Normal 5" xfId="115"/>
    <cellStyle name="Normal 5 10" xfId="116"/>
    <cellStyle name="Normal 5 11" xfId="117"/>
    <cellStyle name="Normal 5 11 2" xfId="118"/>
    <cellStyle name="Normal 5 12" xfId="119"/>
    <cellStyle name="Normal 5 12 2" xfId="120"/>
    <cellStyle name="Normal 5 13" xfId="121"/>
    <cellStyle name="Normal 5 2" xfId="122"/>
    <cellStyle name="Normal 5 3" xfId="123"/>
    <cellStyle name="Normal 5 3 2" xfId="124"/>
    <cellStyle name="Normal 5 4" xfId="125"/>
    <cellStyle name="Normal 5 4 2" xfId="126"/>
    <cellStyle name="Normal 5 5" xfId="127"/>
    <cellStyle name="Normal 5 5 2" xfId="128"/>
    <cellStyle name="Normal 5 6" xfId="129"/>
    <cellStyle name="Normal 5 6 2" xfId="130"/>
    <cellStyle name="Normal 5 7" xfId="131"/>
    <cellStyle name="Normal 5 7 2" xfId="132"/>
    <cellStyle name="Normal 5 7 3" xfId="133"/>
    <cellStyle name="Normal 5 7 4" xfId="134"/>
    <cellStyle name="Normal 5 8" xfId="135"/>
    <cellStyle name="Normal 5 8 2" xfId="136"/>
    <cellStyle name="Normal 5 9" xfId="137"/>
    <cellStyle name="Normal 5 9 2" xfId="138"/>
    <cellStyle name="Normal 6" xfId="139"/>
    <cellStyle name="Normal 6 10" xfId="140"/>
    <cellStyle name="Normal 6 11" xfId="141"/>
    <cellStyle name="Normal 6 11 2" xfId="142"/>
    <cellStyle name="Normal 6 12" xfId="143"/>
    <cellStyle name="Normal 6 12 2" xfId="144"/>
    <cellStyle name="Normal 6 13" xfId="145"/>
    <cellStyle name="Normal 6 2" xfId="146"/>
    <cellStyle name="Normal 6 3" xfId="147"/>
    <cellStyle name="Normal 6 3 2" xfId="148"/>
    <cellStyle name="Normal 6 4" xfId="149"/>
    <cellStyle name="Normal 6 4 2" xfId="150"/>
    <cellStyle name="Normal 6 5" xfId="151"/>
    <cellStyle name="Normal 6 5 2" xfId="152"/>
    <cellStyle name="Normal 6 6" xfId="153"/>
    <cellStyle name="Normal 6 6 2" xfId="154"/>
    <cellStyle name="Normal 6 7" xfId="155"/>
    <cellStyle name="Normal 6 7 2" xfId="156"/>
    <cellStyle name="Normal 6 7 3" xfId="157"/>
    <cellStyle name="Normal 6 7 4" xfId="158"/>
    <cellStyle name="Normal 6 8" xfId="159"/>
    <cellStyle name="Normal 6 8 2" xfId="160"/>
    <cellStyle name="Normal 6 9" xfId="161"/>
    <cellStyle name="Normal 6 9 2" xfId="162"/>
    <cellStyle name="Normal 7" xfId="163"/>
    <cellStyle name="Normal 8" xfId="164"/>
    <cellStyle name="Normal 8 2" xfId="165"/>
    <cellStyle name="Normal 9" xfId="166"/>
    <cellStyle name="Normal_CIC Feasibility Study Data Sheet Apr 10 08" xfId="167"/>
    <cellStyle name="Normal_Savings_Cashflow_Nov03-2" xfId="168"/>
    <cellStyle name="Percent 10" xfId="169"/>
    <cellStyle name="Percent 11" xfId="170"/>
    <cellStyle name="Percent 11 2" xfId="171"/>
    <cellStyle name="Percent 12" xfId="172"/>
    <cellStyle name="Percent 12 2" xfId="173"/>
    <cellStyle name="Percent 13" xfId="174"/>
    <cellStyle name="Percent 2" xfId="175"/>
    <cellStyle name="Percent 2 2" xfId="176"/>
    <cellStyle name="Percent 2 3" xfId="177"/>
    <cellStyle name="Percent 3" xfId="178"/>
    <cellStyle name="Percent 3 2" xfId="179"/>
    <cellStyle name="Percent 4" xfId="180"/>
    <cellStyle name="Percent 4 2" xfId="181"/>
    <cellStyle name="Percent 5" xfId="182"/>
    <cellStyle name="Percent 5 2" xfId="183"/>
    <cellStyle name="Percent 6" xfId="184"/>
    <cellStyle name="Percent 6 2" xfId="185"/>
    <cellStyle name="Percent 7" xfId="186"/>
    <cellStyle name="Percent 8" xfId="187"/>
    <cellStyle name="Percent 8 2" xfId="188"/>
    <cellStyle name="Percent 9" xfId="189"/>
    <cellStyle name="Percent 9 2" xfId="19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0</xdr:row>
      <xdr:rowOff>104775</xdr:rowOff>
    </xdr:from>
    <xdr:to>
      <xdr:col>10</xdr:col>
      <xdr:colOff>104775</xdr:colOff>
      <xdr:row>4</xdr:row>
      <xdr:rowOff>57150</xdr:rowOff>
    </xdr:to>
    <xdr:sp macro="" textlink="" fLocksText="0">
      <xdr:nvSpPr>
        <xdr:cNvPr id="267268" name="Text Box 5"/>
        <xdr:cNvSpPr txBox="1">
          <a:spLocks noChangeArrowheads="1"/>
        </xdr:cNvSpPr>
      </xdr:nvSpPr>
      <xdr:spPr bwMode="auto">
        <a:xfrm>
          <a:off x="1838325" y="104775"/>
          <a:ext cx="4838700" cy="600075"/>
        </a:xfrm>
        <a:prstGeom prst="rect">
          <a:avLst/>
        </a:prstGeom>
        <a:noFill/>
        <a:ln>
          <a:noFill/>
        </a:ln>
        <a:extLst/>
      </xdr:spPr>
      <xdr:txBody>
        <a:bodyPr vertOverflow="clip" wrap="square" lIns="0" tIns="0" rIns="0" bIns="0" anchor="t"/>
        <a:lstStyle/>
        <a:p>
          <a:pPr algn="r" rtl="0">
            <a:defRPr sz="1000"/>
          </a:pPr>
          <a:r>
            <a:rPr lang="en-US" sz="1600" b="1" i="0" u="none" strike="noStrike" baseline="0">
              <a:solidFill>
                <a:srgbClr val="FFFFFF"/>
              </a:solidFill>
              <a:latin typeface="Arial"/>
              <a:cs typeface="Arial"/>
            </a:rPr>
            <a:t>FORM 5</a:t>
          </a:r>
          <a:endParaRPr lang="en-US" sz="1200" b="1" i="0" u="none" strike="noStrike" baseline="0">
            <a:solidFill>
              <a:srgbClr val="FFFFFF"/>
            </a:solidFill>
            <a:latin typeface="Arial"/>
            <a:cs typeface="Arial"/>
          </a:endParaRPr>
        </a:p>
        <a:p>
          <a:pPr algn="r" rtl="0">
            <a:defRPr sz="1000"/>
          </a:pPr>
          <a:r>
            <a:rPr lang="en-US" sz="1200" b="1" i="0" u="none" strike="noStrike" baseline="0">
              <a:solidFill>
                <a:srgbClr val="FFFFFF"/>
              </a:solidFill>
              <a:latin typeface="Arial"/>
              <a:cs typeface="Arial"/>
            </a:rPr>
            <a:t>Finance Agreement</a:t>
          </a:r>
        </a:p>
        <a:p>
          <a:pPr algn="r" rtl="0">
            <a:defRPr sz="1000"/>
          </a:pPr>
          <a:r>
            <a:rPr lang="en-US" sz="800" b="0" i="0" u="none" strike="noStrike" baseline="0">
              <a:solidFill>
                <a:srgbClr val="FFFFFF"/>
              </a:solidFill>
              <a:latin typeface="Arial"/>
              <a:cs typeface="Arial"/>
            </a:rPr>
            <a:t>Version: 1.2, Effective May 01, 2010</a:t>
          </a:r>
        </a:p>
      </xdr:txBody>
    </xdr:sp>
    <xdr:clientData fLocksWithSheet="0"/>
  </xdr:twoCellAnchor>
  <xdr:twoCellAnchor>
    <xdr:from>
      <xdr:col>0</xdr:col>
      <xdr:colOff>28575</xdr:colOff>
      <xdr:row>0</xdr:row>
      <xdr:rowOff>38100</xdr:rowOff>
    </xdr:from>
    <xdr:to>
      <xdr:col>10</xdr:col>
      <xdr:colOff>657225</xdr:colOff>
      <xdr:row>4</xdr:row>
      <xdr:rowOff>114300</xdr:rowOff>
    </xdr:to>
    <xdr:pic>
      <xdr:nvPicPr>
        <xdr:cNvPr id="1346738" name="Picture 5" descr="Header Ba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8100"/>
          <a:ext cx="69532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114301</xdr:colOff>
      <xdr:row>0</xdr:row>
      <xdr:rowOff>114300</xdr:rowOff>
    </xdr:from>
    <xdr:to>
      <xdr:col>10</xdr:col>
      <xdr:colOff>361951</xdr:colOff>
      <xdr:row>4</xdr:row>
      <xdr:rowOff>38100</xdr:rowOff>
    </xdr:to>
    <xdr:sp macro="" textlink="">
      <xdr:nvSpPr>
        <xdr:cNvPr id="268029" name="Text Box 765"/>
        <xdr:cNvSpPr txBox="1">
          <a:spLocks noChangeArrowheads="1"/>
        </xdr:cNvSpPr>
      </xdr:nvSpPr>
      <xdr:spPr bwMode="auto">
        <a:xfrm>
          <a:off x="3095626" y="114300"/>
          <a:ext cx="3867150" cy="571500"/>
        </a:xfrm>
        <a:prstGeom prst="rect">
          <a:avLst/>
        </a:prstGeom>
        <a:solidFill>
          <a:srgbClr val="FFFFFF">
            <a:alpha val="0"/>
          </a:srgbClr>
        </a:solidFill>
        <a:ln>
          <a:noFill/>
        </a:ln>
        <a:extLst/>
      </xdr:spPr>
      <xdr:txBody>
        <a:bodyPr vertOverflow="clip" wrap="square" lIns="91440" tIns="45720" rIns="91440" bIns="45720" anchor="t" upright="1"/>
        <a:lstStyle/>
        <a:p>
          <a:pPr algn="r" rtl="0">
            <a:defRPr sz="1000"/>
          </a:pPr>
          <a:r>
            <a:rPr lang="en-US" sz="1200" b="1" i="0" u="none" strike="noStrike" baseline="0">
              <a:solidFill>
                <a:srgbClr val="FFFFFF"/>
              </a:solidFill>
              <a:latin typeface="Arial"/>
              <a:cs typeface="Arial"/>
            </a:rPr>
            <a:t>             </a:t>
          </a:r>
          <a:r>
            <a:rPr lang="en-US" sz="1600" b="1" i="0" u="none" strike="noStrike" baseline="0">
              <a:solidFill>
                <a:srgbClr val="FFFFFF"/>
              </a:solidFill>
              <a:latin typeface="Arial"/>
              <a:cs typeface="Arial"/>
            </a:rPr>
            <a:t>Finance Agreement</a:t>
          </a:r>
        </a:p>
        <a:p>
          <a:pPr algn="r" rtl="0">
            <a:defRPr sz="1000"/>
          </a:pPr>
          <a:r>
            <a:rPr lang="en-US" sz="900" b="0" i="0" u="none" strike="noStrike" baseline="0">
              <a:solidFill>
                <a:srgbClr val="FFFFFF"/>
              </a:solidFill>
              <a:latin typeface="Arial"/>
              <a:cs typeface="Arial"/>
            </a:rPr>
            <a:t>Version: 1.1, Effective January 1, 2011</a:t>
          </a:r>
          <a:endParaRPr lang="en-US" sz="1200" b="0" i="0" u="none" strike="noStrike" baseline="0">
            <a:solidFill>
              <a:srgbClr val="FFFFFF"/>
            </a:solidFill>
            <a:latin typeface="Arial"/>
            <a:cs typeface="Arial"/>
          </a:endParaRPr>
        </a:p>
        <a:p>
          <a:pPr algn="r" rtl="0">
            <a:defRPr sz="1000"/>
          </a:pPr>
          <a:endParaRPr lang="en-US" sz="1200" b="0" i="0" u="none" strike="noStrike" baseline="0">
            <a:solidFill>
              <a:srgbClr val="FFFFFF"/>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56</xdr:row>
          <xdr:rowOff>47625</xdr:rowOff>
        </xdr:from>
        <xdr:to>
          <xdr:col>10</xdr:col>
          <xdr:colOff>276225</xdr:colOff>
          <xdr:row>113</xdr:row>
          <xdr:rowOff>123825</xdr:rowOff>
        </xdr:to>
        <xdr:sp macro="" textlink="">
          <xdr:nvSpPr>
            <xdr:cNvPr id="267265" name="Object 1" hidden="1">
              <a:extLst>
                <a:ext uri="{63B3BB69-23CF-44E3-9099-C40C66FF867C}">
                  <a14:compatExt spid="_x0000_s2672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J60"/>
  <sheetViews>
    <sheetView showGridLines="0" topLeftCell="E1" zoomScale="80" zoomScaleNormal="80" workbookViewId="0">
      <pane ySplit="16" topLeftCell="A17" activePane="bottomLeft" state="frozen"/>
      <selection activeCell="M28" sqref="M28"/>
      <selection pane="bottomLeft" activeCell="W4" sqref="W4"/>
    </sheetView>
  </sheetViews>
  <sheetFormatPr defaultRowHeight="12.75"/>
  <cols>
    <col min="1" max="1" width="8" style="10" customWidth="1"/>
    <col min="2" max="3" width="12.7109375" style="5" customWidth="1"/>
    <col min="4" max="4" width="11.42578125" style="10" customWidth="1"/>
    <col min="5" max="7" width="11.42578125" style="5" customWidth="1"/>
    <col min="8" max="8" width="11.42578125" style="50" customWidth="1"/>
    <col min="9" max="9" width="11.42578125" style="10" customWidth="1"/>
    <col min="10" max="13" width="11.42578125" style="5" customWidth="1"/>
    <col min="14" max="14" width="11.42578125" style="10" customWidth="1"/>
    <col min="15" max="17" width="11.42578125" style="5" customWidth="1"/>
    <col min="18" max="18" width="11.42578125" style="10" customWidth="1"/>
    <col min="19" max="21" width="11.42578125" style="5" customWidth="1"/>
    <col min="22" max="22" width="11.42578125" style="10" customWidth="1"/>
    <col min="23" max="24" width="11.42578125" style="5" customWidth="1"/>
    <col min="25" max="25" width="11.42578125" style="8" customWidth="1"/>
    <col min="26" max="26" width="11.42578125" style="386" customWidth="1"/>
    <col min="27" max="29" width="11.42578125" style="8" customWidth="1"/>
    <col min="30" max="30" width="11.42578125" style="386" customWidth="1"/>
    <col min="31" max="33" width="11.42578125" style="8" customWidth="1"/>
    <col min="34" max="34" width="11.42578125" style="386" customWidth="1"/>
    <col min="35" max="36" width="11.42578125" style="8" customWidth="1"/>
    <col min="37" max="16384" width="9.140625" style="5"/>
  </cols>
  <sheetData>
    <row r="1" spans="1:36" s="101" customFormat="1" ht="15.75">
      <c r="A1" s="95" t="str">
        <f>'Data Summary'!$A$1</f>
        <v>Custom Project Development Agreement Generator Version 2016.2.1</v>
      </c>
      <c r="B1" s="1"/>
      <c r="H1" s="102"/>
      <c r="Y1" s="385"/>
      <c r="Z1" s="385"/>
      <c r="AA1" s="385"/>
      <c r="AB1" s="385"/>
      <c r="AC1" s="385"/>
      <c r="AD1" s="385"/>
      <c r="AE1" s="385"/>
      <c r="AF1" s="385"/>
      <c r="AG1" s="385"/>
      <c r="AH1" s="385"/>
      <c r="AI1" s="385"/>
      <c r="AJ1" s="385"/>
    </row>
    <row r="2" spans="1:36" s="101" customFormat="1" ht="15">
      <c r="A2" s="7" t="s">
        <v>182</v>
      </c>
      <c r="C2" s="93" t="e">
        <f>customer_name</f>
        <v>#REF!</v>
      </c>
      <c r="H2" s="102"/>
      <c r="Y2" s="385"/>
      <c r="Z2" s="385"/>
      <c r="AA2" s="385"/>
      <c r="AB2" s="385"/>
      <c r="AC2" s="385"/>
      <c r="AD2" s="385"/>
      <c r="AE2" s="385"/>
      <c r="AF2" s="385"/>
      <c r="AG2" s="385"/>
      <c r="AH2" s="385"/>
      <c r="AI2" s="385"/>
      <c r="AJ2" s="385"/>
    </row>
    <row r="3" spans="1:36" s="101" customFormat="1" ht="15">
      <c r="A3" s="96" t="s">
        <v>183</v>
      </c>
      <c r="C3" s="97" t="e">
        <f>project_name</f>
        <v>#REF!</v>
      </c>
      <c r="H3" s="102"/>
      <c r="Y3" s="385"/>
      <c r="Z3" s="385"/>
      <c r="AA3" s="385"/>
      <c r="AB3" s="385"/>
      <c r="AC3" s="385"/>
      <c r="AD3" s="385"/>
      <c r="AE3" s="385"/>
      <c r="AF3" s="385"/>
      <c r="AG3" s="385"/>
      <c r="AH3" s="385"/>
      <c r="AI3" s="385"/>
      <c r="AJ3" s="385"/>
    </row>
    <row r="4" spans="1:36" s="101" customFormat="1" ht="15">
      <c r="A4" s="97" t="s">
        <v>164</v>
      </c>
      <c r="C4" s="97" t="e">
        <f>prep_by</f>
        <v>#REF!</v>
      </c>
      <c r="H4" s="102"/>
      <c r="Y4" s="385"/>
      <c r="Z4" s="385"/>
      <c r="AA4" s="385"/>
      <c r="AB4" s="385"/>
      <c r="AC4" s="385"/>
      <c r="AD4" s="385"/>
      <c r="AE4" s="385"/>
      <c r="AF4" s="385"/>
      <c r="AG4" s="385"/>
      <c r="AH4" s="385"/>
      <c r="AI4" s="385"/>
      <c r="AJ4" s="385"/>
    </row>
    <row r="5" spans="1:36" s="101" customFormat="1" ht="15.75" thickBot="1">
      <c r="A5" s="99" t="s">
        <v>163</v>
      </c>
      <c r="B5" s="103"/>
      <c r="C5" s="100" t="e">
        <f>prep_date</f>
        <v>#REF!</v>
      </c>
      <c r="D5" s="103"/>
      <c r="E5" s="103"/>
      <c r="F5" s="103"/>
      <c r="G5" s="103"/>
      <c r="H5" s="104"/>
      <c r="I5" s="103"/>
      <c r="J5" s="103"/>
      <c r="K5" s="103"/>
      <c r="L5" s="103"/>
      <c r="M5" s="103"/>
      <c r="N5" s="103"/>
      <c r="O5" s="103"/>
      <c r="P5" s="103"/>
      <c r="Q5" s="103"/>
      <c r="R5" s="103"/>
      <c r="S5" s="103"/>
      <c r="T5" s="103"/>
      <c r="U5" s="103"/>
      <c r="V5" s="103"/>
      <c r="W5" s="103"/>
      <c r="X5" s="103"/>
      <c r="Y5" s="104"/>
      <c r="Z5" s="104"/>
      <c r="AA5" s="104"/>
      <c r="AB5" s="104"/>
      <c r="AC5" s="104"/>
      <c r="AD5" s="104"/>
      <c r="AE5" s="104"/>
      <c r="AF5" s="104"/>
      <c r="AG5" s="104"/>
      <c r="AH5" s="104"/>
      <c r="AI5" s="104"/>
      <c r="AJ5" s="104"/>
    </row>
    <row r="6" spans="1:36" s="101" customFormat="1" ht="15">
      <c r="A6" s="97"/>
      <c r="B6" s="98"/>
      <c r="C6" s="105"/>
      <c r="D6" s="105"/>
      <c r="E6" s="105"/>
      <c r="F6" s="105"/>
      <c r="G6" s="105"/>
      <c r="H6" s="102"/>
      <c r="Y6" s="385"/>
      <c r="Z6" s="385"/>
      <c r="AA6" s="385"/>
      <c r="AB6" s="385"/>
      <c r="AC6" s="385"/>
      <c r="AD6" s="385"/>
      <c r="AE6" s="385"/>
      <c r="AF6" s="385"/>
      <c r="AG6" s="385"/>
      <c r="AH6" s="385"/>
      <c r="AI6" s="385"/>
      <c r="AJ6" s="385"/>
    </row>
    <row r="7" spans="1:36" s="101" customFormat="1" ht="15.75">
      <c r="A7" s="94" t="s">
        <v>123</v>
      </c>
      <c r="B7" s="98"/>
      <c r="C7" s="105"/>
      <c r="D7" s="105"/>
      <c r="E7" s="105"/>
      <c r="F7" s="105"/>
      <c r="G7" s="105"/>
      <c r="H7" s="102"/>
      <c r="Y7" s="385"/>
      <c r="Z7" s="385"/>
      <c r="AA7" s="385"/>
      <c r="AB7" s="385"/>
      <c r="AC7" s="385"/>
      <c r="AD7" s="385"/>
      <c r="AE7" s="385"/>
      <c r="AF7" s="385"/>
      <c r="AG7" s="385"/>
      <c r="AH7" s="385"/>
      <c r="AI7" s="385"/>
      <c r="AJ7" s="385"/>
    </row>
    <row r="8" spans="1:36" s="101" customFormat="1" ht="15.75" thickBot="1">
      <c r="A8" s="98"/>
      <c r="B8" s="105"/>
      <c r="C8" s="105"/>
      <c r="D8" s="105"/>
      <c r="E8" s="105"/>
      <c r="F8" s="105"/>
      <c r="G8" s="105"/>
      <c r="H8" s="102"/>
      <c r="Y8" s="385"/>
      <c r="Z8" s="385"/>
      <c r="AA8" s="385"/>
      <c r="AB8" s="385"/>
      <c r="AC8" s="385"/>
      <c r="AD8" s="385"/>
      <c r="AE8" s="385"/>
      <c r="AF8" s="385"/>
      <c r="AG8" s="385"/>
      <c r="AH8" s="385"/>
      <c r="AI8" s="385"/>
      <c r="AJ8" s="385"/>
    </row>
    <row r="9" spans="1:36" s="37" customFormat="1" ht="15" customHeight="1" thickBot="1">
      <c r="A9" s="524" t="s">
        <v>184</v>
      </c>
      <c r="B9" s="525"/>
      <c r="C9" s="526"/>
      <c r="D9" s="38"/>
      <c r="E9" s="532" t="s">
        <v>140</v>
      </c>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4"/>
    </row>
    <row r="10" spans="1:36" s="37" customFormat="1" ht="15" customHeight="1" thickBot="1">
      <c r="A10" s="527"/>
      <c r="B10" s="528"/>
      <c r="C10" s="529"/>
      <c r="D10" s="40"/>
      <c r="E10" s="522" t="str">
        <f ca="1">"For Install Year "&amp;E11&amp;" in "&amp;current_yr&amp;" $"</f>
        <v>For Install Year 2010 in 2017 $</v>
      </c>
      <c r="F10" s="523"/>
      <c r="G10" s="523"/>
      <c r="H10" s="517"/>
      <c r="I10" s="522" t="str">
        <f ca="1">"For Install Year "&amp;I11&amp;" in "&amp;current_yr&amp;" $"</f>
        <v>For Install Year 2011 in 2017 $</v>
      </c>
      <c r="J10" s="523"/>
      <c r="K10" s="523"/>
      <c r="L10" s="517"/>
      <c r="M10" s="522" t="str">
        <f ca="1">"For Install Year "&amp;M11&amp;" in "&amp;current_yr&amp;" $"</f>
        <v>For Install Year 2012 in 2017 $</v>
      </c>
      <c r="N10" s="523"/>
      <c r="O10" s="523"/>
      <c r="P10" s="517"/>
      <c r="Q10" s="522" t="str">
        <f ca="1">"For Install Year "&amp;Q11&amp;" in "&amp;current_yr&amp;" $"</f>
        <v>For Install Year 2013 in 2017 $</v>
      </c>
      <c r="R10" s="523"/>
      <c r="S10" s="523"/>
      <c r="T10" s="523"/>
      <c r="U10" s="508" t="str">
        <f ca="1">"For Install Year "&amp;U11&amp;" in "&amp;current_yr&amp;" $"</f>
        <v>For Install Year 2014 in 2017 $</v>
      </c>
      <c r="V10" s="509"/>
      <c r="W10" s="509"/>
      <c r="X10" s="510"/>
      <c r="Y10" s="508" t="str">
        <f ca="1">"For Install Year "&amp;Y11&amp;" in "&amp;current_yr&amp;" $"</f>
        <v>For Install Year 2015 in 2017 $</v>
      </c>
      <c r="Z10" s="509"/>
      <c r="AA10" s="509"/>
      <c r="AB10" s="510"/>
      <c r="AC10" s="508" t="str">
        <f ca="1">"For Install Year "&amp;AC11&amp;" in "&amp;current_yr&amp;" $"</f>
        <v>For Install Year 2016 in 2017 $</v>
      </c>
      <c r="AD10" s="509"/>
      <c r="AE10" s="509"/>
      <c r="AF10" s="510"/>
      <c r="AG10" s="508" t="str">
        <f ca="1">"For Install Year "&amp;AG11&amp;" in "&amp;current_yr&amp;" $"</f>
        <v>For Install Year 2017 in 2017 $</v>
      </c>
      <c r="AH10" s="509"/>
      <c r="AI10" s="509"/>
      <c r="AJ10" s="510"/>
    </row>
    <row r="11" spans="1:36" s="37" customFormat="1" ht="15" customHeight="1" thickBot="1">
      <c r="A11" s="530" t="s">
        <v>185</v>
      </c>
      <c r="B11" s="531"/>
      <c r="C11" s="129">
        <v>1.0192000000000001</v>
      </c>
      <c r="D11" s="42"/>
      <c r="E11" s="511">
        <v>2010</v>
      </c>
      <c r="F11" s="512"/>
      <c r="G11" s="512"/>
      <c r="H11" s="513"/>
      <c r="I11" s="511">
        <v>2011</v>
      </c>
      <c r="J11" s="512"/>
      <c r="K11" s="512"/>
      <c r="L11" s="513"/>
      <c r="M11" s="512">
        <v>2012</v>
      </c>
      <c r="N11" s="512"/>
      <c r="O11" s="512"/>
      <c r="P11" s="513"/>
      <c r="Q11" s="512">
        <v>2013</v>
      </c>
      <c r="R11" s="512"/>
      <c r="S11" s="512"/>
      <c r="T11" s="512"/>
      <c r="U11" s="511">
        <v>2014</v>
      </c>
      <c r="V11" s="512"/>
      <c r="W11" s="512"/>
      <c r="X11" s="513"/>
      <c r="Y11" s="511">
        <v>2015</v>
      </c>
      <c r="Z11" s="512"/>
      <c r="AA11" s="512"/>
      <c r="AB11" s="513"/>
      <c r="AC11" s="511">
        <v>2016</v>
      </c>
      <c r="AD11" s="512"/>
      <c r="AE11" s="512"/>
      <c r="AF11" s="513"/>
      <c r="AG11" s="511">
        <v>2017</v>
      </c>
      <c r="AH11" s="512"/>
      <c r="AI11" s="512"/>
      <c r="AJ11" s="513"/>
    </row>
    <row r="12" spans="1:36" s="37" customFormat="1" ht="11.25" customHeight="1">
      <c r="A12" s="41"/>
      <c r="B12" s="520" t="s">
        <v>188</v>
      </c>
      <c r="C12" s="519" t="s">
        <v>187</v>
      </c>
      <c r="D12" s="43"/>
      <c r="E12" s="514" t="s">
        <v>36</v>
      </c>
      <c r="F12" s="515"/>
      <c r="G12" s="516" t="s">
        <v>53</v>
      </c>
      <c r="H12" s="517"/>
      <c r="I12" s="514" t="s">
        <v>36</v>
      </c>
      <c r="J12" s="515"/>
      <c r="K12" s="516" t="s">
        <v>53</v>
      </c>
      <c r="L12" s="517"/>
      <c r="M12" s="518" t="s">
        <v>36</v>
      </c>
      <c r="N12" s="515"/>
      <c r="O12" s="516" t="s">
        <v>53</v>
      </c>
      <c r="P12" s="517"/>
      <c r="Q12" s="518" t="s">
        <v>36</v>
      </c>
      <c r="R12" s="515"/>
      <c r="S12" s="516" t="s">
        <v>53</v>
      </c>
      <c r="T12" s="523"/>
      <c r="U12" s="514" t="s">
        <v>36</v>
      </c>
      <c r="V12" s="515"/>
      <c r="W12" s="516" t="s">
        <v>53</v>
      </c>
      <c r="X12" s="517"/>
      <c r="Y12" s="514" t="s">
        <v>36</v>
      </c>
      <c r="Z12" s="515"/>
      <c r="AA12" s="516" t="s">
        <v>53</v>
      </c>
      <c r="AB12" s="517"/>
      <c r="AC12" s="514" t="s">
        <v>36</v>
      </c>
      <c r="AD12" s="515"/>
      <c r="AE12" s="516" t="s">
        <v>53</v>
      </c>
      <c r="AF12" s="517"/>
      <c r="AG12" s="514" t="s">
        <v>36</v>
      </c>
      <c r="AH12" s="515"/>
      <c r="AI12" s="516" t="s">
        <v>53</v>
      </c>
      <c r="AJ12" s="517"/>
    </row>
    <row r="13" spans="1:36" s="37" customFormat="1" ht="22.5">
      <c r="A13" s="41"/>
      <c r="B13" s="520"/>
      <c r="C13" s="520"/>
      <c r="D13" s="43" t="s">
        <v>106</v>
      </c>
      <c r="E13" s="67" t="s">
        <v>107</v>
      </c>
      <c r="F13" s="68" t="s">
        <v>105</v>
      </c>
      <c r="G13" s="45" t="s">
        <v>107</v>
      </c>
      <c r="H13" s="46" t="s">
        <v>105</v>
      </c>
      <c r="I13" s="67" t="s">
        <v>107</v>
      </c>
      <c r="J13" s="68" t="s">
        <v>105</v>
      </c>
      <c r="K13" s="45" t="s">
        <v>107</v>
      </c>
      <c r="L13" s="46" t="s">
        <v>105</v>
      </c>
      <c r="M13" s="66" t="s">
        <v>107</v>
      </c>
      <c r="N13" s="68" t="s">
        <v>105</v>
      </c>
      <c r="O13" s="45" t="s">
        <v>107</v>
      </c>
      <c r="P13" s="46" t="s">
        <v>105</v>
      </c>
      <c r="Q13" s="66" t="s">
        <v>107</v>
      </c>
      <c r="R13" s="68" t="s">
        <v>105</v>
      </c>
      <c r="S13" s="45" t="s">
        <v>107</v>
      </c>
      <c r="T13" s="398" t="s">
        <v>105</v>
      </c>
      <c r="U13" s="67" t="s">
        <v>107</v>
      </c>
      <c r="V13" s="68" t="s">
        <v>105</v>
      </c>
      <c r="W13" s="45" t="s">
        <v>107</v>
      </c>
      <c r="X13" s="46" t="s">
        <v>105</v>
      </c>
      <c r="Y13" s="67" t="s">
        <v>107</v>
      </c>
      <c r="Z13" s="68" t="s">
        <v>105</v>
      </c>
      <c r="AA13" s="45" t="s">
        <v>107</v>
      </c>
      <c r="AB13" s="46" t="s">
        <v>105</v>
      </c>
      <c r="AC13" s="67" t="s">
        <v>107</v>
      </c>
      <c r="AD13" s="68" t="s">
        <v>105</v>
      </c>
      <c r="AE13" s="45" t="s">
        <v>107</v>
      </c>
      <c r="AF13" s="46" t="s">
        <v>105</v>
      </c>
      <c r="AG13" s="67" t="s">
        <v>107</v>
      </c>
      <c r="AH13" s="68" t="s">
        <v>105</v>
      </c>
      <c r="AI13" s="45" t="s">
        <v>107</v>
      </c>
      <c r="AJ13" s="46" t="s">
        <v>105</v>
      </c>
    </row>
    <row r="14" spans="1:36" s="37" customFormat="1" ht="11.25">
      <c r="A14" s="41"/>
      <c r="B14" s="520"/>
      <c r="C14" s="520"/>
      <c r="D14" s="43" t="s">
        <v>35</v>
      </c>
      <c r="E14" s="69"/>
      <c r="F14" s="70"/>
      <c r="G14" s="44"/>
      <c r="H14" s="47"/>
      <c r="I14" s="69"/>
      <c r="J14" s="70"/>
      <c r="K14" s="44"/>
      <c r="L14" s="47"/>
      <c r="M14" s="77"/>
      <c r="N14" s="70"/>
      <c r="O14" s="44"/>
      <c r="P14" s="47"/>
      <c r="Q14" s="77"/>
      <c r="R14" s="70"/>
      <c r="S14" s="44"/>
      <c r="T14" s="399"/>
      <c r="U14" s="69"/>
      <c r="V14" s="70"/>
      <c r="W14" s="44"/>
      <c r="X14" s="47"/>
      <c r="Y14" s="69"/>
      <c r="Z14" s="70"/>
      <c r="AA14" s="44"/>
      <c r="AB14" s="47"/>
      <c r="AC14" s="69"/>
      <c r="AD14" s="70"/>
      <c r="AE14" s="44"/>
      <c r="AF14" s="47"/>
      <c r="AG14" s="69"/>
      <c r="AH14" s="70"/>
      <c r="AI14" s="44"/>
      <c r="AJ14" s="47"/>
    </row>
    <row r="15" spans="1:36" s="37" customFormat="1" ht="11.25">
      <c r="A15" s="39"/>
      <c r="B15" s="520"/>
      <c r="C15" s="520"/>
      <c r="D15" s="43" t="s">
        <v>38</v>
      </c>
      <c r="E15" s="69"/>
      <c r="F15" s="70"/>
      <c r="G15" s="44"/>
      <c r="H15" s="47"/>
      <c r="I15" s="69"/>
      <c r="J15" s="70"/>
      <c r="K15" s="44"/>
      <c r="L15" s="47"/>
      <c r="M15" s="77"/>
      <c r="N15" s="70"/>
      <c r="O15" s="44"/>
      <c r="P15" s="47"/>
      <c r="Q15" s="77"/>
      <c r="R15" s="70"/>
      <c r="S15" s="44"/>
      <c r="T15" s="399"/>
      <c r="U15" s="69"/>
      <c r="V15" s="70"/>
      <c r="W15" s="44"/>
      <c r="X15" s="47"/>
      <c r="Y15" s="69"/>
      <c r="Z15" s="70"/>
      <c r="AA15" s="44"/>
      <c r="AB15" s="47"/>
      <c r="AC15" s="69"/>
      <c r="AD15" s="70"/>
      <c r="AE15" s="44"/>
      <c r="AF15" s="47"/>
      <c r="AG15" s="69"/>
      <c r="AH15" s="70"/>
      <c r="AI15" s="44"/>
      <c r="AJ15" s="47"/>
    </row>
    <row r="16" spans="1:36" ht="13.5" thickBot="1">
      <c r="A16" s="48" t="s">
        <v>83</v>
      </c>
      <c r="B16" s="521"/>
      <c r="C16" s="521"/>
      <c r="D16" s="49" t="s">
        <v>37</v>
      </c>
      <c r="E16" s="71"/>
      <c r="F16" s="72"/>
      <c r="G16" s="56"/>
      <c r="H16" s="57"/>
      <c r="I16" s="71"/>
      <c r="J16" s="72"/>
      <c r="K16" s="56"/>
      <c r="L16" s="57"/>
      <c r="M16" s="78"/>
      <c r="N16" s="72"/>
      <c r="O16" s="56"/>
      <c r="P16" s="57"/>
      <c r="Q16" s="78"/>
      <c r="R16" s="72"/>
      <c r="S16" s="56"/>
      <c r="T16" s="400"/>
      <c r="U16" s="71"/>
      <c r="V16" s="72"/>
      <c r="W16" s="56"/>
      <c r="X16" s="57"/>
      <c r="Y16" s="71"/>
      <c r="Z16" s="72"/>
      <c r="AA16" s="56"/>
      <c r="AB16" s="57"/>
      <c r="AC16" s="71"/>
      <c r="AD16" s="72"/>
      <c r="AE16" s="56"/>
      <c r="AF16" s="57"/>
      <c r="AG16" s="71"/>
      <c r="AH16" s="72"/>
      <c r="AI16" s="56"/>
      <c r="AJ16" s="57"/>
    </row>
    <row r="17" spans="1:36" s="9" customFormat="1">
      <c r="A17" s="51">
        <v>2010</v>
      </c>
      <c r="B17" s="130">
        <f>'Avoided Energy &amp; Capacity Costs'!$D15</f>
        <v>0</v>
      </c>
      <c r="C17" s="131">
        <f>'Avoided Energy &amp; Capacity Costs'!$B15/1000</f>
        <v>0.13372774711138985</v>
      </c>
      <c r="D17" s="91">
        <v>1</v>
      </c>
      <c r="E17" s="87">
        <f>NPV(disc_rate_cap,$B$17:$B17)</f>
        <v>0</v>
      </c>
      <c r="F17" s="84">
        <f t="shared" ref="F17:F48" si="0">(PMT(disc_rate_cap,$D17,$E17)*-1)</f>
        <v>0</v>
      </c>
      <c r="G17" s="85">
        <f>NPV(disc_rate_ene,$C$17:$C17)</f>
        <v>0.12520152336989968</v>
      </c>
      <c r="H17" s="88">
        <f t="shared" ref="H17:H48" si="1">(PMT(disc_rate_ene,$D17,$G17)*-1)</f>
        <v>0.13372774711138982</v>
      </c>
      <c r="I17" s="87">
        <f>NPV(disc_rate_cap,$B$18:$B18)</f>
        <v>0</v>
      </c>
      <c r="J17" s="84">
        <f t="shared" ref="J17:J47" si="2">(PMT(disc_rate_cap,$D17,$I17)*-1)</f>
        <v>0</v>
      </c>
      <c r="K17" s="58">
        <f>NPV(disc_rate_ene,$C$18:$C18)</f>
        <v>0.10152440151369438</v>
      </c>
      <c r="L17" s="88">
        <f>(PMT(disc_rate_ene,$D17,$K17)*-1)</f>
        <v>0.10843821325677697</v>
      </c>
      <c r="M17" s="87">
        <f>NPV(disc_rate_cap,$B$19:$B19)</f>
        <v>0</v>
      </c>
      <c r="N17" s="84">
        <f t="shared" ref="N17:N46" si="3">(PMT(disc_rate_cap,$D17,$M17)*-1)</f>
        <v>0</v>
      </c>
      <c r="O17" s="85">
        <f>NPV(disc_rate_ene,$C$19:$C19)</f>
        <v>7.0180001178971302E-2</v>
      </c>
      <c r="P17" s="88">
        <f t="shared" ref="P17:P46" si="4">(PMT(disc_rate_ene,$D17,$O17)*-1)</f>
        <v>7.4959259259259253E-2</v>
      </c>
      <c r="Q17" s="87">
        <f>NPV(disc_rate_cap,$B$20:$B20)</f>
        <v>0</v>
      </c>
      <c r="R17" s="84">
        <f t="shared" ref="R17:R45" si="5">(PMT(disc_rate_cap,$D17,$Q17)*-1)</f>
        <v>0</v>
      </c>
      <c r="S17" s="85">
        <f>NPV(disc_rate_ene,$C$20:$C20)</f>
        <v>6.4328822567751506E-2</v>
      </c>
      <c r="T17" s="401">
        <f t="shared" ref="T17:T45" si="6">(PMT(disc_rate_ene,$D17,$S17)*-1)</f>
        <v>6.8709615384615383E-2</v>
      </c>
      <c r="U17" s="87">
        <f>NPV(disc_rate_cap,$B$21:$B21)</f>
        <v>0</v>
      </c>
      <c r="V17" s="84">
        <f t="shared" ref="V17:V50" si="7">(PMT(disc_rate_cap,$D17,$U17)*-1)</f>
        <v>0</v>
      </c>
      <c r="W17" s="85">
        <f>NPV(disc_rate_ene,$C$21:$C21)</f>
        <v>6.4950001354461662E-2</v>
      </c>
      <c r="X17" s="88">
        <f t="shared" ref="X17:X50" si="8">(PMT(disc_rate_ene,$D17,$W17)*-1)</f>
        <v>6.9373096446700491E-2</v>
      </c>
      <c r="Y17" s="87">
        <f>NPV(disc_rate_cap,$B$22:$B22)</f>
        <v>0</v>
      </c>
      <c r="Z17" s="84">
        <f t="shared" ref="Z17:Z49" si="9">(PMT(disc_rate_cap,$D17,$Y17)*-1)</f>
        <v>0</v>
      </c>
      <c r="AA17" s="85">
        <f>NPV(disc_rate_ene,$C$22:$C22)</f>
        <v>0.10414320742297974</v>
      </c>
      <c r="AB17" s="88">
        <f t="shared" ref="AB17:AB49" si="10">(PMT(disc_rate_ene,$D17,$AA17)*-1)</f>
        <v>0.11123535984848465</v>
      </c>
      <c r="AC17" s="87">
        <f>NPV(disc_rate_cap,$B$23:$B23)</f>
        <v>0</v>
      </c>
      <c r="AD17" s="84">
        <f t="shared" ref="AD17:AD48" si="11">(PMT(disc_rate_cap,$D17,$AC17)*-1)</f>
        <v>0</v>
      </c>
      <c r="AE17" s="85">
        <f>NPV(disc_rate_ene,$C$23:$C23)</f>
        <v>9.9931185527055086E-2</v>
      </c>
      <c r="AF17" s="88">
        <f t="shared" ref="AF17:AF48" si="12">(PMT(disc_rate_ene,$D17,$AE17)*-1)</f>
        <v>0.10673649926144753</v>
      </c>
      <c r="AG17" s="87">
        <f>NPV(disc_rate_cap,$B$24:$B24)</f>
        <v>0</v>
      </c>
      <c r="AH17" s="84">
        <f t="shared" ref="AH17:AH47" si="13">(PMT(disc_rate_cap,$D17,$AG17)*-1)</f>
        <v>0</v>
      </c>
      <c r="AI17" s="85">
        <f>NPV(disc_rate_ene,$C$24:$C24)</f>
        <v>0.12206873667920486</v>
      </c>
      <c r="AJ17" s="88">
        <f t="shared" ref="AJ17:AJ47" si="14">(PMT(disc_rate_ene,$D17,$AI17)*-1)</f>
        <v>0.13038161764705869</v>
      </c>
    </row>
    <row r="18" spans="1:36" s="9" customFormat="1">
      <c r="A18" s="51">
        <f>A17+1</f>
        <v>2011</v>
      </c>
      <c r="B18" s="132">
        <f>'Avoided Energy &amp; Capacity Costs'!$D16</f>
        <v>0</v>
      </c>
      <c r="C18" s="133">
        <f>'Avoided Energy &amp; Capacity Costs'!$B16/1000</f>
        <v>0.10843821325677697</v>
      </c>
      <c r="D18" s="91">
        <v>2</v>
      </c>
      <c r="E18" s="89">
        <f>NPV(disc_rate_cap,$B$17:$B18)</f>
        <v>0</v>
      </c>
      <c r="F18" s="74">
        <f t="shared" si="0"/>
        <v>0</v>
      </c>
      <c r="G18" s="86">
        <f>NPV(disc_rate_ene,$C$17:$C18)</f>
        <v>0.22025292446876155</v>
      </c>
      <c r="H18" s="90">
        <f t="shared" si="1"/>
        <v>0.12149935687174333</v>
      </c>
      <c r="I18" s="89">
        <f>NPV(disc_rate_cap,$B$18:$B19)</f>
        <v>0</v>
      </c>
      <c r="J18" s="74">
        <f t="shared" si="2"/>
        <v>0</v>
      </c>
      <c r="K18" s="53">
        <f>NPV(disc_rate_ene,$C$18:$C19)</f>
        <v>0.16722986090791897</v>
      </c>
      <c r="L18" s="90">
        <f t="shared" ref="L18:L47" si="15">(PMT(disc_rate_ene,$D18,$K18)*-1)</f>
        <v>9.2249946733147653E-2</v>
      </c>
      <c r="M18" s="89">
        <f>NPV(disc_rate_cap,$B$19:$B20)</f>
        <v>0</v>
      </c>
      <c r="N18" s="74">
        <f t="shared" si="3"/>
        <v>0</v>
      </c>
      <c r="O18" s="86">
        <f>NPV(disc_rate_ene,$C$19:$C20)</f>
        <v>0.13040734184721536</v>
      </c>
      <c r="P18" s="90">
        <f t="shared" si="4"/>
        <v>7.1937333881064811E-2</v>
      </c>
      <c r="Q18" s="89">
        <f>NPV(disc_rate_cap,$B$20:$B21)</f>
        <v>0</v>
      </c>
      <c r="R18" s="74">
        <f t="shared" si="5"/>
        <v>0</v>
      </c>
      <c r="S18" s="86">
        <f>NPV(disc_rate_ene,$C$20:$C21)</f>
        <v>0.12513773685898047</v>
      </c>
      <c r="T18" s="397">
        <f t="shared" si="6"/>
        <v>6.9030432106285067E-2</v>
      </c>
      <c r="U18" s="89">
        <f>NPV(disc_rate_cap,$B$21:$B22)</f>
        <v>0</v>
      </c>
      <c r="V18" s="74">
        <f t="shared" si="7"/>
        <v>0</v>
      </c>
      <c r="W18" s="86">
        <f>NPV(disc_rate_ene,$C$21:$C22)</f>
        <v>0.16245323833880745</v>
      </c>
      <c r="X18" s="90">
        <f t="shared" si="8"/>
        <v>8.9614991617042422E-2</v>
      </c>
      <c r="Y18" s="89">
        <f>NPV(disc_rate_cap,$B$22:$B23)</f>
        <v>0</v>
      </c>
      <c r="Z18" s="74">
        <f t="shared" si="9"/>
        <v>0</v>
      </c>
      <c r="AA18" s="86">
        <f>NPV(disc_rate_ene,$C$22:$C23)</f>
        <v>0.19770297291970765</v>
      </c>
      <c r="AB18" s="90">
        <f t="shared" si="10"/>
        <v>0.10906000053943908</v>
      </c>
      <c r="AC18" s="89">
        <f>NPV(disc_rate_cap,$B$23:$B24)</f>
        <v>0</v>
      </c>
      <c r="AD18" s="74">
        <f t="shared" si="11"/>
        <v>0</v>
      </c>
      <c r="AE18" s="86">
        <f>NPV(disc_rate_ene,$C$23:$C24)</f>
        <v>0.21421705452734049</v>
      </c>
      <c r="AF18" s="90">
        <f t="shared" si="12"/>
        <v>0.11816975606025373</v>
      </c>
      <c r="AG18" s="89">
        <f>NPV(disc_rate_cap,$B$24:$B25)</f>
        <v>0</v>
      </c>
      <c r="AH18" s="74">
        <f t="shared" si="13"/>
        <v>0</v>
      </c>
      <c r="AI18" s="86">
        <f>NPV(disc_rate_ene,$C$24:$C25)</f>
        <v>0.22684254040516483</v>
      </c>
      <c r="AJ18" s="90">
        <f t="shared" si="14"/>
        <v>0.12513442369428782</v>
      </c>
    </row>
    <row r="19" spans="1:36" s="9" customFormat="1">
      <c r="A19" s="51">
        <f t="shared" ref="A19:A54" si="16">A18+1</f>
        <v>2012</v>
      </c>
      <c r="B19" s="132">
        <f>'Avoided Energy &amp; Capacity Costs'!$D17</f>
        <v>0</v>
      </c>
      <c r="C19" s="133">
        <f>'Avoided Energy &amp; Capacity Costs'!$B17/1000</f>
        <v>7.4959259259259253E-2</v>
      </c>
      <c r="D19" s="91">
        <v>3</v>
      </c>
      <c r="E19" s="89">
        <f>NPV(disc_rate_cap,$B$17:$B19)</f>
        <v>0</v>
      </c>
      <c r="F19" s="74">
        <f t="shared" si="0"/>
        <v>0</v>
      </c>
      <c r="G19" s="86">
        <f>NPV(disc_rate_ene,$C$17:$C19)</f>
        <v>0.28176913024932948</v>
      </c>
      <c r="H19" s="90">
        <f t="shared" si="1"/>
        <v>0.10699608405414435</v>
      </c>
      <c r="I19" s="89">
        <f>NPV(disc_rate_cap,$B$18:$B20)</f>
        <v>0</v>
      </c>
      <c r="J19" s="74">
        <f t="shared" si="2"/>
        <v>0</v>
      </c>
      <c r="K19" s="53">
        <f>NPV(disc_rate_ene,$C$18:$C20)</f>
        <v>0.22361722226757078</v>
      </c>
      <c r="L19" s="90">
        <f t="shared" si="15"/>
        <v>8.4914082279076125E-2</v>
      </c>
      <c r="M19" s="89">
        <f>NPV(disc_rate_cap,$B$19:$B21)</f>
        <v>0</v>
      </c>
      <c r="N19" s="74">
        <f t="shared" si="3"/>
        <v>0</v>
      </c>
      <c r="O19" s="86">
        <f>NPV(disc_rate_ene,$C$19:$C21)</f>
        <v>0.18733919681512939</v>
      </c>
      <c r="P19" s="90">
        <f t="shared" si="4"/>
        <v>7.1138241550203235E-2</v>
      </c>
      <c r="Q19" s="89">
        <f>NPV(disc_rate_cap,$B$20:$B22)</f>
        <v>0</v>
      </c>
      <c r="R19" s="74">
        <f t="shared" si="5"/>
        <v>0</v>
      </c>
      <c r="S19" s="86">
        <f>NPV(disc_rate_ene,$C$20:$C22)</f>
        <v>0.21642435513849154</v>
      </c>
      <c r="T19" s="397">
        <f t="shared" si="6"/>
        <v>8.2182737595390423E-2</v>
      </c>
      <c r="U19" s="89">
        <f>NPV(disc_rate_cap,$B$21:$B23)</f>
        <v>0</v>
      </c>
      <c r="V19" s="74">
        <f t="shared" si="7"/>
        <v>0</v>
      </c>
      <c r="W19" s="86">
        <f>NPV(disc_rate_ene,$C$21:$C23)</f>
        <v>0.25004781328191006</v>
      </c>
      <c r="X19" s="90">
        <f t="shared" si="8"/>
        <v>9.4950560495368208E-2</v>
      </c>
      <c r="Y19" s="89">
        <f>NPV(disc_rate_cap,$B$22:$B24)</f>
        <v>0</v>
      </c>
      <c r="Z19" s="74">
        <f t="shared" si="9"/>
        <v>0</v>
      </c>
      <c r="AA19" s="86">
        <f>NPV(disc_rate_ene,$C$22:$C24)</f>
        <v>0.30470219490293526</v>
      </c>
      <c r="AB19" s="90">
        <f t="shared" si="10"/>
        <v>0.1157044479232633</v>
      </c>
      <c r="AC19" s="89">
        <f>NPV(disc_rate_cap,$B$23:$B25)</f>
        <v>0</v>
      </c>
      <c r="AD19" s="74">
        <f t="shared" si="11"/>
        <v>0</v>
      </c>
      <c r="AE19" s="86">
        <f>NPV(disc_rate_ene,$C$23:$C25)</f>
        <v>0.31231068220823177</v>
      </c>
      <c r="AF19" s="90">
        <f t="shared" si="12"/>
        <v>0.11859361589749115</v>
      </c>
      <c r="AG19" s="89">
        <f>NPV(disc_rate_cap,$B$24:$B26)</f>
        <v>0</v>
      </c>
      <c r="AH19" s="74">
        <f t="shared" si="13"/>
        <v>0</v>
      </c>
      <c r="AI19" s="86">
        <f>NPV(disc_rate_ene,$C$24:$C26)</f>
        <v>0.31990134924650171</v>
      </c>
      <c r="AJ19" s="90">
        <f t="shared" si="14"/>
        <v>0.12147601698853715</v>
      </c>
    </row>
    <row r="20" spans="1:36" s="9" customFormat="1">
      <c r="A20" s="51">
        <f t="shared" si="16"/>
        <v>2013</v>
      </c>
      <c r="B20" s="132">
        <f>'Avoided Energy &amp; Capacity Costs'!$D18</f>
        <v>0</v>
      </c>
      <c r="C20" s="133">
        <f>'Avoided Energy &amp; Capacity Costs'!$B18/1000</f>
        <v>6.8709615384615383E-2</v>
      </c>
      <c r="D20" s="91">
        <v>4</v>
      </c>
      <c r="E20" s="89">
        <f>NPV(disc_rate_cap,$B$17:$B20)</f>
        <v>0</v>
      </c>
      <c r="F20" s="74">
        <f t="shared" si="0"/>
        <v>0</v>
      </c>
      <c r="G20" s="86">
        <f>NPV(disc_rate_ene,$C$17:$C20)</f>
        <v>0.33456134198947718</v>
      </c>
      <c r="H20" s="90">
        <f t="shared" si="1"/>
        <v>9.8348594404206846E-2</v>
      </c>
      <c r="I20" s="89">
        <f>NPV(disc_rate_cap,$B$18:$B21)</f>
        <v>0</v>
      </c>
      <c r="J20" s="74">
        <f t="shared" si="2"/>
        <v>0</v>
      </c>
      <c r="K20" s="53">
        <f>NPV(disc_rate_ene,$C$18:$C21)</f>
        <v>0.27691921175162099</v>
      </c>
      <c r="L20" s="90">
        <f t="shared" si="15"/>
        <v>8.1403951446815517E-2</v>
      </c>
      <c r="M20" s="89">
        <f>NPV(disc_rate_cap,$B$19:$B22)</f>
        <v>0</v>
      </c>
      <c r="N20" s="74">
        <f t="shared" si="3"/>
        <v>0</v>
      </c>
      <c r="O20" s="86">
        <f>NPV(disc_rate_ene,$C$19:$C22)</f>
        <v>0.27280555603197337</v>
      </c>
      <c r="P20" s="90">
        <f t="shared" si="4"/>
        <v>8.0194689625098861E-2</v>
      </c>
      <c r="Q20" s="89">
        <f>NPV(disc_rate_cap,$B$20:$B23)</f>
        <v>0</v>
      </c>
      <c r="R20" s="74">
        <f t="shared" si="5"/>
        <v>0</v>
      </c>
      <c r="S20" s="86">
        <f>NPV(disc_rate_ene,$C$20:$C23)</f>
        <v>0.29843406859519284</v>
      </c>
      <c r="T20" s="397">
        <f t="shared" si="6"/>
        <v>8.7728519362494123E-2</v>
      </c>
      <c r="U20" s="89">
        <f>NPV(disc_rate_cap,$B$21:$B24)</f>
        <v>0</v>
      </c>
      <c r="V20" s="74">
        <f t="shared" si="7"/>
        <v>0</v>
      </c>
      <c r="W20" s="86">
        <f>NPV(disc_rate_ene,$C$21:$C24)</f>
        <v>0.35022497083572302</v>
      </c>
      <c r="X20" s="90">
        <f t="shared" si="8"/>
        <v>0.10295311885744125</v>
      </c>
      <c r="Y20" s="89">
        <f>NPV(disc_rate_cap,$B$22:$B25)</f>
        <v>0</v>
      </c>
      <c r="Z20" s="74">
        <f t="shared" si="9"/>
        <v>0</v>
      </c>
      <c r="AA20" s="86">
        <f>NPV(disc_rate_ene,$C$22:$C25)</f>
        <v>0.39654156170463101</v>
      </c>
      <c r="AB20" s="90">
        <f t="shared" si="10"/>
        <v>0.11656847436284538</v>
      </c>
      <c r="AC20" s="89">
        <f>NPV(disc_rate_cap,$B$23:$B26)</f>
        <v>0</v>
      </c>
      <c r="AD20" s="74">
        <f t="shared" si="11"/>
        <v>0</v>
      </c>
      <c r="AE20" s="86">
        <f>NPV(disc_rate_ene,$C$23:$C26)</f>
        <v>0.39943624052799287</v>
      </c>
      <c r="AF20" s="90">
        <f t="shared" si="12"/>
        <v>0.11741940230280509</v>
      </c>
      <c r="AG20" s="89">
        <f>NPV(disc_rate_cap,$B$24:$B27)</f>
        <v>0</v>
      </c>
      <c r="AH20" s="74">
        <f t="shared" si="13"/>
        <v>0</v>
      </c>
      <c r="AI20" s="86">
        <f>NPV(disc_rate_ene,$C$24:$C27)</f>
        <v>0.40632187449170259</v>
      </c>
      <c r="AJ20" s="90">
        <f t="shared" si="14"/>
        <v>0.11944352265659665</v>
      </c>
    </row>
    <row r="21" spans="1:36" s="9" customFormat="1">
      <c r="A21" s="51">
        <f t="shared" si="16"/>
        <v>2014</v>
      </c>
      <c r="B21" s="132">
        <f>'Avoided Energy &amp; Capacity Costs'!$D19</f>
        <v>0</v>
      </c>
      <c r="C21" s="133">
        <f>'Avoided Energy &amp; Capacity Costs'!$B19/1000</f>
        <v>6.9373096446700505E-2</v>
      </c>
      <c r="D21" s="91">
        <v>5</v>
      </c>
      <c r="E21" s="89">
        <f>NPV(disc_rate_cap,$B$17:$B21)</f>
        <v>0</v>
      </c>
      <c r="F21" s="74">
        <f t="shared" si="0"/>
        <v>0</v>
      </c>
      <c r="G21" s="86">
        <f>NPV(disc_rate_ene,$C$17:$C21)</f>
        <v>0.38446489922573801</v>
      </c>
      <c r="H21" s="90">
        <f t="shared" si="1"/>
        <v>9.3290885251966438E-2</v>
      </c>
      <c r="I21" s="89">
        <f>NPV(disc_rate_cap,$B$18:$B22)</f>
        <v>0</v>
      </c>
      <c r="J21" s="74">
        <f t="shared" si="2"/>
        <v>0</v>
      </c>
      <c r="K21" s="53">
        <f>NPV(disc_rate_ene,$C$18:$C22)</f>
        <v>0.35693640042013891</v>
      </c>
      <c r="L21" s="90">
        <f t="shared" si="15"/>
        <v>8.661106083001277E-2</v>
      </c>
      <c r="M21" s="89">
        <f>NPV(disc_rate_cap,$B$19:$B23)</f>
        <v>0</v>
      </c>
      <c r="N21" s="74">
        <f t="shared" si="3"/>
        <v>0</v>
      </c>
      <c r="O21" s="86">
        <f>NPV(disc_rate_ene,$C$19:$C23)</f>
        <v>0.34958648802027148</v>
      </c>
      <c r="P21" s="90">
        <f t="shared" si="4"/>
        <v>8.4827595458560362E-2</v>
      </c>
      <c r="Q21" s="89">
        <f>NPV(disc_rate_cap,$B$20:$B24)</f>
        <v>0</v>
      </c>
      <c r="R21" s="74">
        <f t="shared" si="5"/>
        <v>0</v>
      </c>
      <c r="S21" s="86">
        <f>NPV(disc_rate_ene,$C$20:$C24)</f>
        <v>0.39222412341572738</v>
      </c>
      <c r="T21" s="397">
        <f t="shared" si="6"/>
        <v>9.5173670637603319E-2</v>
      </c>
      <c r="U21" s="89">
        <f>NPV(disc_rate_cap,$B$21:$B25)</f>
        <v>0</v>
      </c>
      <c r="V21" s="74">
        <f t="shared" si="7"/>
        <v>0</v>
      </c>
      <c r="W21" s="86">
        <f>NPV(disc_rate_ene,$C$21:$C25)</f>
        <v>0.4362088363929702</v>
      </c>
      <c r="X21" s="90">
        <f t="shared" si="8"/>
        <v>0.10584661586476006</v>
      </c>
      <c r="Y21" s="89">
        <f>NPV(disc_rate_cap,$B$22:$B26)</f>
        <v>0</v>
      </c>
      <c r="Z21" s="74">
        <f t="shared" si="9"/>
        <v>0</v>
      </c>
      <c r="AA21" s="86">
        <f>NPV(disc_rate_ene,$C$22:$C26)</f>
        <v>0.47811216213507862</v>
      </c>
      <c r="AB21" s="90">
        <f t="shared" si="10"/>
        <v>0.11601450989450222</v>
      </c>
      <c r="AC21" s="89">
        <f>NPV(disc_rate_cap,$B$23:$B27)</f>
        <v>0</v>
      </c>
      <c r="AD21" s="74">
        <f t="shared" si="11"/>
        <v>0</v>
      </c>
      <c r="AE21" s="86">
        <f>NPV(disc_rate_ene,$C$23:$C27)</f>
        <v>0.48034675943558663</v>
      </c>
      <c r="AF21" s="90">
        <f t="shared" si="12"/>
        <v>0.11655673770454646</v>
      </c>
      <c r="AG21" s="89">
        <f>NPV(disc_rate_cap,$B$24:$B28)</f>
        <v>0</v>
      </c>
      <c r="AH21" s="74">
        <f t="shared" si="13"/>
        <v>0</v>
      </c>
      <c r="AI21" s="86">
        <f>NPV(disc_rate_ene,$C$24:$C28)</f>
        <v>0.48857958046494998</v>
      </c>
      <c r="AJ21" s="90">
        <f t="shared" si="14"/>
        <v>0.11855444195140244</v>
      </c>
    </row>
    <row r="22" spans="1:36" s="9" customFormat="1">
      <c r="A22" s="51">
        <f t="shared" si="16"/>
        <v>2015</v>
      </c>
      <c r="B22" s="132">
        <f>'Avoided Energy &amp; Capacity Costs'!$D20</f>
        <v>0</v>
      </c>
      <c r="C22" s="133">
        <f>'Avoided Energy &amp; Capacity Costs'!$B20/1000</f>
        <v>0.11123535984848466</v>
      </c>
      <c r="D22" s="91">
        <v>6</v>
      </c>
      <c r="E22" s="89">
        <f>NPV(disc_rate_cap,$B$17:$B22)</f>
        <v>0</v>
      </c>
      <c r="F22" s="74">
        <f t="shared" si="0"/>
        <v>0</v>
      </c>
      <c r="G22" s="86">
        <f>NPV(disc_rate_ene,$C$17:$C22)</f>
        <v>0.45938034597090965</v>
      </c>
      <c r="H22" s="90">
        <f t="shared" si="1"/>
        <v>9.5811488153219715E-2</v>
      </c>
      <c r="I22" s="89">
        <f>NPV(disc_rate_cap,$B$18:$B23)</f>
        <v>0</v>
      </c>
      <c r="J22" s="74">
        <f t="shared" si="2"/>
        <v>0</v>
      </c>
      <c r="K22" s="53">
        <f>NPV(disc_rate_ene,$C$18:$C23)</f>
        <v>0.42882192798150781</v>
      </c>
      <c r="L22" s="90">
        <f t="shared" si="15"/>
        <v>8.9438016739276982E-2</v>
      </c>
      <c r="M22" s="89">
        <f>NPV(disc_rate_cap,$B$19:$B24)</f>
        <v>0</v>
      </c>
      <c r="N22" s="74">
        <f t="shared" si="3"/>
        <v>0</v>
      </c>
      <c r="O22" s="86">
        <f>NPV(disc_rate_ene,$C$19:$C24)</f>
        <v>0.43739666948318179</v>
      </c>
      <c r="P22" s="90">
        <f t="shared" si="4"/>
        <v>9.1226423124117356E-2</v>
      </c>
      <c r="Q22" s="89">
        <f>NPV(disc_rate_cap,$B$20:$B25)</f>
        <v>0</v>
      </c>
      <c r="R22" s="74">
        <f t="shared" si="5"/>
        <v>0</v>
      </c>
      <c r="S22" s="86">
        <f>NPV(disc_rate_ene,$C$20:$C25)</f>
        <v>0.47272582321653928</v>
      </c>
      <c r="T22" s="397">
        <f t="shared" si="6"/>
        <v>9.8594911619707487E-2</v>
      </c>
      <c r="U22" s="89">
        <f>NPV(disc_rate_cap,$B$21:$B26)</f>
        <v>0</v>
      </c>
      <c r="V22" s="74">
        <f t="shared" si="7"/>
        <v>0</v>
      </c>
      <c r="W22" s="86">
        <f>NPV(disc_rate_ene,$C$21:$C26)</f>
        <v>0.51257865235631406</v>
      </c>
      <c r="X22" s="90">
        <f t="shared" si="8"/>
        <v>0.10690688861325438</v>
      </c>
      <c r="Y22" s="89">
        <f>NPV(disc_rate_cap,$B$22:$B27)</f>
        <v>0</v>
      </c>
      <c r="Z22" s="74">
        <f t="shared" si="9"/>
        <v>0</v>
      </c>
      <c r="AA22" s="86">
        <f>NPV(disc_rate_ene,$C$22:$C27)</f>
        <v>0.55386398210286603</v>
      </c>
      <c r="AB22" s="90">
        <f t="shared" si="10"/>
        <v>0.11551763767251873</v>
      </c>
      <c r="AC22" s="89">
        <f>NPV(disc_rate_cap,$B$23:$B28)</f>
        <v>0</v>
      </c>
      <c r="AD22" s="74">
        <f t="shared" si="11"/>
        <v>0</v>
      </c>
      <c r="AE22" s="86">
        <f>NPV(disc_rate_ene,$C$23:$C28)</f>
        <v>0.55735987241494001</v>
      </c>
      <c r="AF22" s="90">
        <f t="shared" si="12"/>
        <v>0.11624676432357801</v>
      </c>
      <c r="AG22" s="89">
        <f>NPV(disc_rate_cap,$B$24:$B29)</f>
        <v>95.060318442285109</v>
      </c>
      <c r="AH22" s="74">
        <f t="shared" si="13"/>
        <v>19.826426302641714</v>
      </c>
      <c r="AI22" s="86">
        <f>NPV(disc_rate_ene,$C$24:$C29)</f>
        <v>0.55259650460305587</v>
      </c>
      <c r="AJ22" s="90">
        <f t="shared" si="14"/>
        <v>0.11525328394793595</v>
      </c>
    </row>
    <row r="23" spans="1:36" s="9" customFormat="1">
      <c r="A23" s="51">
        <f t="shared" si="16"/>
        <v>2016</v>
      </c>
      <c r="B23" s="132">
        <f>'Avoided Energy &amp; Capacity Costs'!$D21</f>
        <v>0</v>
      </c>
      <c r="C23" s="133">
        <f>'Avoided Energy &amp; Capacity Costs'!$B21/1000</f>
        <v>0.10673649926144754</v>
      </c>
      <c r="D23" s="91">
        <v>7</v>
      </c>
      <c r="E23" s="89">
        <f>NPV(disc_rate_cap,$B$17:$B23)</f>
        <v>0</v>
      </c>
      <c r="F23" s="74">
        <f t="shared" si="0"/>
        <v>0</v>
      </c>
      <c r="G23" s="86">
        <f>NPV(disc_rate_ene,$C$17:$C23)</f>
        <v>0.52668259066838075</v>
      </c>
      <c r="H23" s="90">
        <f t="shared" si="1"/>
        <v>9.7081257716607736E-2</v>
      </c>
      <c r="I23" s="89">
        <f>NPV(disc_rate_cap,$B$18:$B24)</f>
        <v>0</v>
      </c>
      <c r="J23" s="74">
        <f t="shared" si="2"/>
        <v>0</v>
      </c>
      <c r="K23" s="53">
        <f>NPV(disc_rate_ene,$C$18:$C24)</f>
        <v>0.51103350130133773</v>
      </c>
      <c r="L23" s="90">
        <f t="shared" si="15"/>
        <v>9.4196724783889824E-2</v>
      </c>
      <c r="M23" s="89">
        <f>NPV(disc_rate_cap,$B$19:$B25)</f>
        <v>0</v>
      </c>
      <c r="N23" s="74">
        <f t="shared" si="3"/>
        <v>0</v>
      </c>
      <c r="O23" s="86">
        <f>NPV(disc_rate_ene,$C$19:$C25)</f>
        <v>0.51276573586349439</v>
      </c>
      <c r="P23" s="90">
        <f t="shared" si="4"/>
        <v>9.4516020528487968E-2</v>
      </c>
      <c r="Q23" s="89">
        <f>NPV(disc_rate_cap,$B$20:$B26)</f>
        <v>0</v>
      </c>
      <c r="R23" s="74">
        <f t="shared" si="5"/>
        <v>0</v>
      </c>
      <c r="S23" s="86">
        <f>NPV(disc_rate_ene,$C$20:$C26)</f>
        <v>0.54422644671934228</v>
      </c>
      <c r="T23" s="397">
        <f t="shared" si="6"/>
        <v>0.10031504527823012</v>
      </c>
      <c r="U23" s="89">
        <f>NPV(disc_rate_cap,$B$21:$B27)</f>
        <v>0</v>
      </c>
      <c r="V23" s="74">
        <f t="shared" si="7"/>
        <v>0</v>
      </c>
      <c r="W23" s="86">
        <f>NPV(disc_rate_ene,$C$21:$C27)</f>
        <v>0.58350068209864858</v>
      </c>
      <c r="X23" s="90">
        <f t="shared" si="8"/>
        <v>0.10755430519309186</v>
      </c>
      <c r="Y23" s="89">
        <f>NPV(disc_rate_cap,$B$22:$B28)</f>
        <v>0</v>
      </c>
      <c r="Z23" s="74">
        <f t="shared" si="9"/>
        <v>0</v>
      </c>
      <c r="AA23" s="86">
        <f>NPV(disc_rate_ene,$C$22:$C28)</f>
        <v>0.62596688724222882</v>
      </c>
      <c r="AB23" s="90">
        <f t="shared" si="10"/>
        <v>0.11538192789950867</v>
      </c>
      <c r="AC23" s="89">
        <f>NPV(disc_rate_cap,$B$23:$B29)</f>
        <v>88.999455521285554</v>
      </c>
      <c r="AD23" s="74">
        <f t="shared" si="11"/>
        <v>16.404907303153813</v>
      </c>
      <c r="AE23" s="86">
        <f>NPV(disc_rate_ene,$C$23:$C29)</f>
        <v>0.61729520069703525</v>
      </c>
      <c r="AF23" s="90">
        <f t="shared" si="12"/>
        <v>0.1137835112226574</v>
      </c>
      <c r="AG23" s="89">
        <f>NPV(disc_rate_cap,$B$24:$B30)</f>
        <v>185.76875576910018</v>
      </c>
      <c r="AH23" s="74">
        <f t="shared" si="13"/>
        <v>34.24199845228771</v>
      </c>
      <c r="AI23" s="86">
        <f>NPV(disc_rate_ene,$C$24:$C30)</f>
        <v>0.62733874440410675</v>
      </c>
      <c r="AJ23" s="90">
        <f t="shared" si="14"/>
        <v>0.11563479674507586</v>
      </c>
    </row>
    <row r="24" spans="1:36" s="9" customFormat="1">
      <c r="A24" s="51">
        <f t="shared" si="16"/>
        <v>2017</v>
      </c>
      <c r="B24" s="132">
        <f>'Avoided Energy &amp; Capacity Costs'!$D22</f>
        <v>0</v>
      </c>
      <c r="C24" s="133">
        <f>'Avoided Energy &amp; Capacity Costs'!$B22/1000</f>
        <v>0.13038161764705872</v>
      </c>
      <c r="D24" s="91">
        <v>8</v>
      </c>
      <c r="E24" s="89">
        <f>NPV(disc_rate_cap,$B$17:$B24)</f>
        <v>0</v>
      </c>
      <c r="F24" s="74">
        <f>(PMT(disc_rate_cap,$D24,$E24)*-1)</f>
        <v>0</v>
      </c>
      <c r="G24" s="86">
        <f>NPV(disc_rate_ene,$C$17:$C24)</f>
        <v>0.60365251232349726</v>
      </c>
      <c r="H24" s="90">
        <f t="shared" si="1"/>
        <v>0.10034924769189961</v>
      </c>
      <c r="I24" s="89">
        <f>NPV(disc_rate_cap,$B$18:$B25)</f>
        <v>0</v>
      </c>
      <c r="J24" s="74">
        <f t="shared" si="2"/>
        <v>0</v>
      </c>
      <c r="K24" s="53">
        <f>NPV(disc_rate_ene,$C$18:$C25)</f>
        <v>0.58159718108816727</v>
      </c>
      <c r="L24" s="90">
        <f t="shared" si="15"/>
        <v>9.6682840525726912E-2</v>
      </c>
      <c r="M24" s="89">
        <f>NPV(disc_rate_cap,$B$19:$B26)</f>
        <v>0</v>
      </c>
      <c r="N24" s="74">
        <f t="shared" si="3"/>
        <v>0</v>
      </c>
      <c r="O24" s="86">
        <f>NPV(disc_rate_ene,$C$19:$C26)</f>
        <v>0.57970761724426689</v>
      </c>
      <c r="P24" s="90">
        <f t="shared" si="4"/>
        <v>9.6368725523585427E-2</v>
      </c>
      <c r="Q24" s="89">
        <f>NPV(disc_rate_cap,$B$20:$B27)</f>
        <v>0</v>
      </c>
      <c r="R24" s="74">
        <f t="shared" si="5"/>
        <v>0</v>
      </c>
      <c r="S24" s="86">
        <f>NPV(disc_rate_ene,$C$20:$C27)</f>
        <v>0.61062662436407078</v>
      </c>
      <c r="T24" s="397">
        <f t="shared" si="6"/>
        <v>0.10150860159551681</v>
      </c>
      <c r="U24" s="89">
        <f>NPV(disc_rate_cap,$B$21:$B28)</f>
        <v>0</v>
      </c>
      <c r="V24" s="74">
        <f t="shared" si="7"/>
        <v>0</v>
      </c>
      <c r="W24" s="86">
        <f>NPV(disc_rate_ene,$C$21:$C28)</f>
        <v>0.65100644479817371</v>
      </c>
      <c r="X24" s="90">
        <f t="shared" si="8"/>
        <v>0.10822121277458652</v>
      </c>
      <c r="Y24" s="89">
        <f>NPV(disc_rate_cap,$B$22:$B29)</f>
        <v>83.325021553492704</v>
      </c>
      <c r="Z24" s="74">
        <f t="shared" si="9"/>
        <v>13.851682973404625</v>
      </c>
      <c r="AA24" s="86">
        <f>NPV(disc_rate_ene,$C$22:$C29)</f>
        <v>0.68208085436337407</v>
      </c>
      <c r="AB24" s="90">
        <f t="shared" si="10"/>
        <v>0.11338692244807949</v>
      </c>
      <c r="AC24" s="89">
        <f>NPV(disc_rate_cap,$B$23:$B30)</f>
        <v>173.92449749002918</v>
      </c>
      <c r="AD24" s="74">
        <f t="shared" si="11"/>
        <v>28.912647793243917</v>
      </c>
      <c r="AE24" s="86">
        <f>NPV(disc_rate_ene,$C$23:$C30)</f>
        <v>0.68727201916070979</v>
      </c>
      <c r="AF24" s="90">
        <f t="shared" si="12"/>
        <v>0.11424988494955607</v>
      </c>
      <c r="AG24" s="89">
        <f>NPV(disc_rate_cap,$B$24:$B31)</f>
        <v>272.32421611315527</v>
      </c>
      <c r="AH24" s="74">
        <f t="shared" si="13"/>
        <v>45.270299812148544</v>
      </c>
      <c r="AI24" s="86">
        <f>NPV(disc_rate_ene,$C$24:$C31)</f>
        <v>0.70371394224308637</v>
      </c>
      <c r="AJ24" s="90">
        <f t="shared" si="14"/>
        <v>0.11698313723997372</v>
      </c>
    </row>
    <row r="25" spans="1:36" s="9" customFormat="1">
      <c r="A25" s="51">
        <f t="shared" si="16"/>
        <v>2018</v>
      </c>
      <c r="B25" s="132">
        <f>'Avoided Energy &amp; Capacity Costs'!$D23</f>
        <v>0</v>
      </c>
      <c r="C25" s="133">
        <f>'Avoided Energy &amp; Capacity Costs'!$B23/1000</f>
        <v>0.11952989583333329</v>
      </c>
      <c r="D25" s="91">
        <v>9</v>
      </c>
      <c r="E25" s="89">
        <f>NPV(disc_rate_cap,$B$17:$B25)</f>
        <v>0</v>
      </c>
      <c r="F25" s="74">
        <f t="shared" si="0"/>
        <v>0</v>
      </c>
      <c r="G25" s="86">
        <f>NPV(disc_rate_ene,$C$17:$C25)</f>
        <v>0.66971718771609112</v>
      </c>
      <c r="H25" s="90">
        <f t="shared" si="1"/>
        <v>0.10196326554427611</v>
      </c>
      <c r="I25" s="89">
        <f>NPV(disc_rate_cap,$B$18:$B26)</f>
        <v>0</v>
      </c>
      <c r="J25" s="74">
        <f t="shared" si="2"/>
        <v>0</v>
      </c>
      <c r="K25" s="53">
        <f>NPV(disc_rate_ene,$C$18:$C26)</f>
        <v>0.64427097696942592</v>
      </c>
      <c r="L25" s="90">
        <f t="shared" si="15"/>
        <v>9.8089124651601675E-2</v>
      </c>
      <c r="M25" s="89">
        <f>NPV(disc_rate_cap,$B$19:$B27)</f>
        <v>0</v>
      </c>
      <c r="N25" s="74">
        <f t="shared" si="3"/>
        <v>0</v>
      </c>
      <c r="O25" s="86">
        <f>NPV(disc_rate_ene,$C$19:$C27)</f>
        <v>0.64187424737695886</v>
      </c>
      <c r="P25" s="90">
        <f t="shared" si="4"/>
        <v>9.7724226780743773E-2</v>
      </c>
      <c r="Q25" s="89">
        <f>NPV(disc_rate_cap,$B$20:$B28)</f>
        <v>0</v>
      </c>
      <c r="R25" s="74">
        <f t="shared" si="5"/>
        <v>0</v>
      </c>
      <c r="S25" s="86">
        <f>NPV(disc_rate_ene,$C$20:$C28)</f>
        <v>0.67382834957662119</v>
      </c>
      <c r="T25" s="397">
        <f t="shared" si="6"/>
        <v>0.10258918271673254</v>
      </c>
      <c r="U25" s="89">
        <f>NPV(disc_rate_cap,$B$21:$B29)</f>
        <v>78.012378572692342</v>
      </c>
      <c r="V25" s="74">
        <f t="shared" si="7"/>
        <v>11.877247617422777</v>
      </c>
      <c r="W25" s="86">
        <f>NPV(disc_rate_ene,$C$21:$C29)</f>
        <v>0.70354269339020181</v>
      </c>
      <c r="X25" s="90">
        <f t="shared" si="8"/>
        <v>0.10711313937233272</v>
      </c>
      <c r="Y25" s="89">
        <f>NPV(disc_rate_cap,$B$22:$B30)</f>
        <v>162.83540631966031</v>
      </c>
      <c r="Z25" s="74">
        <f t="shared" si="9"/>
        <v>24.791404609463481</v>
      </c>
      <c r="AA25" s="86">
        <f>NPV(disc_rate_ene,$C$22:$C30)</f>
        <v>0.74759608558112023</v>
      </c>
      <c r="AB25" s="90">
        <f t="shared" si="10"/>
        <v>0.11382019095840153</v>
      </c>
      <c r="AC25" s="89">
        <f>NPV(disc_rate_cap,$B$23:$B31)</f>
        <v>254.96134829431259</v>
      </c>
      <c r="AD25" s="74">
        <f t="shared" si="11"/>
        <v>38.817417465893492</v>
      </c>
      <c r="AE25" s="86">
        <f>NPV(disc_rate_ene,$C$23:$C31)</f>
        <v>0.75877768140111768</v>
      </c>
      <c r="AF25" s="90">
        <f t="shared" si="12"/>
        <v>0.11552256928273756</v>
      </c>
      <c r="AG25" s="89">
        <f>NPV(disc_rate_cap,$B$24:$B32)</f>
        <v>354.91698293028946</v>
      </c>
      <c r="AH25" s="74">
        <f t="shared" si="13"/>
        <v>54.035487278005434</v>
      </c>
      <c r="AI25" s="86">
        <f>NPV(disc_rate_ene,$C$24:$C32)</f>
        <v>0.77550538759208199</v>
      </c>
      <c r="AJ25" s="90">
        <f t="shared" si="14"/>
        <v>0.11806933316991285</v>
      </c>
    </row>
    <row r="26" spans="1:36" s="9" customFormat="1">
      <c r="A26" s="51">
        <f t="shared" si="16"/>
        <v>2019</v>
      </c>
      <c r="B26" s="132">
        <f>'Avoided Energy &amp; Capacity Costs'!$D24</f>
        <v>0</v>
      </c>
      <c r="C26" s="133">
        <f>'Avoided Energy &amp; Capacity Costs'!$B24/1000</f>
        <v>0.11339482482352832</v>
      </c>
      <c r="D26" s="321">
        <v>10</v>
      </c>
      <c r="E26" s="89">
        <f>NPV(disc_rate_cap,$B$17:$B26)</f>
        <v>0</v>
      </c>
      <c r="F26" s="74">
        <f>(PMT(disc_rate_cap,$D26,$E26)*-1)</f>
        <v>0</v>
      </c>
      <c r="G26" s="86">
        <f>NPV(disc_rate_ene,$C$17:$C26)</f>
        <v>0.72839502301359016</v>
      </c>
      <c r="H26" s="90">
        <f t="shared" si="1"/>
        <v>0.10279810789738243</v>
      </c>
      <c r="I26" s="89">
        <f>NPV(disc_rate_cap,$B$18:$B27)</f>
        <v>0</v>
      </c>
      <c r="J26" s="74">
        <f t="shared" si="2"/>
        <v>0</v>
      </c>
      <c r="K26" s="53">
        <f>NPV(disc_rate_ene,$C$18:$C27)</f>
        <v>0.70247398243023673</v>
      </c>
      <c r="L26" s="90">
        <f t="shared" si="15"/>
        <v>9.9139881464593807E-2</v>
      </c>
      <c r="M26" s="89">
        <f>NPV(disc_rate_cap,$B$19:$B28)</f>
        <v>0</v>
      </c>
      <c r="N26" s="74">
        <f t="shared" si="3"/>
        <v>0</v>
      </c>
      <c r="O26" s="86">
        <f>NPV(disc_rate_ene,$C$19:$C28)</f>
        <v>0.70104635224780476</v>
      </c>
      <c r="P26" s="90">
        <f t="shared" si="4"/>
        <v>9.8938400569070911E-2</v>
      </c>
      <c r="Q26" s="89">
        <f>NPV(disc_rate_cap,$B$20:$B29)</f>
        <v>73.038459481970165</v>
      </c>
      <c r="R26" s="74">
        <f t="shared" si="5"/>
        <v>10.307889539692912</v>
      </c>
      <c r="S26" s="86">
        <f>NPV(disc_rate_ene,$C$20:$C29)</f>
        <v>0.72301498808615039</v>
      </c>
      <c r="T26" s="397">
        <f t="shared" si="6"/>
        <v>0.1020388256487552</v>
      </c>
      <c r="U26" s="89">
        <f>NPV(disc_rate_cap,$B$21:$B30)</f>
        <v>152.45333425677399</v>
      </c>
      <c r="V26" s="74">
        <f t="shared" si="7"/>
        <v>21.515680103639532</v>
      </c>
      <c r="W26" s="86">
        <f>NPV(disc_rate_ene,$C$21:$C30)</f>
        <v>0.76488079957665078</v>
      </c>
      <c r="X26" s="90">
        <f t="shared" si="8"/>
        <v>0.10794733143316614</v>
      </c>
      <c r="Y26" s="89">
        <f>NPV(disc_rate_cap,$B$22:$B31)</f>
        <v>238.70550350558239</v>
      </c>
      <c r="Z26" s="74">
        <f t="shared" si="9"/>
        <v>33.688415392437442</v>
      </c>
      <c r="AA26" s="86">
        <f>NPV(disc_rate_ene,$C$22:$C31)</f>
        <v>0.8145426844392869</v>
      </c>
      <c r="AB26" s="90">
        <f t="shared" si="10"/>
        <v>0.11495609403752209</v>
      </c>
      <c r="AC26" s="89">
        <f>NPV(disc_rate_cap,$B$23:$B32)</f>
        <v>332.28815928310968</v>
      </c>
      <c r="AD26" s="74">
        <f t="shared" si="11"/>
        <v>46.895699410030687</v>
      </c>
      <c r="AE26" s="86">
        <f>NPV(disc_rate_ene,$C$23:$C32)</f>
        <v>0.82599184238697632</v>
      </c>
      <c r="AF26" s="90">
        <f t="shared" si="12"/>
        <v>0.1165719092708159</v>
      </c>
      <c r="AG26" s="89">
        <f>NPV(disc_rate_cap,$B$24:$B33)</f>
        <v>433.72858211174167</v>
      </c>
      <c r="AH26" s="74">
        <f t="shared" si="13"/>
        <v>61.211947052622349</v>
      </c>
      <c r="AI26" s="86">
        <f>NPV(disc_rate_ene,$C$24:$C33)</f>
        <v>0.84051192806949337</v>
      </c>
      <c r="AJ26" s="90">
        <f t="shared" si="14"/>
        <v>0.11862112334767097</v>
      </c>
    </row>
    <row r="27" spans="1:36" s="9" customFormat="1">
      <c r="A27" s="51">
        <f t="shared" si="16"/>
        <v>2020</v>
      </c>
      <c r="B27" s="132">
        <f>'Avoided Energy &amp; Capacity Costs'!$D25</f>
        <v>0</v>
      </c>
      <c r="C27" s="133">
        <f>'Avoided Energy &amp; Capacity Costs'!$B25/1000</f>
        <v>0.11247721690770712</v>
      </c>
      <c r="D27" s="91">
        <v>11</v>
      </c>
      <c r="E27" s="89">
        <f>NPV(disc_rate_cap,$B$17:$B27)</f>
        <v>0</v>
      </c>
      <c r="F27" s="74">
        <f t="shared" si="0"/>
        <v>0</v>
      </c>
      <c r="G27" s="86">
        <f>NPV(disc_rate_ene,$C$17:$C27)</f>
        <v>0.78288711688196477</v>
      </c>
      <c r="H27" s="90">
        <f t="shared" si="1"/>
        <v>0.10341754812529233</v>
      </c>
      <c r="I27" s="89">
        <f>NPV(disc_rate_cap,$B$18:$B28)</f>
        <v>0</v>
      </c>
      <c r="J27" s="74">
        <f t="shared" si="2"/>
        <v>0</v>
      </c>
      <c r="K27" s="53">
        <f>NPV(disc_rate_ene,$C$18:$C28)</f>
        <v>0.7578733877956948</v>
      </c>
      <c r="L27" s="90">
        <f t="shared" si="15"/>
        <v>0.10011329330261096</v>
      </c>
      <c r="M27" s="89">
        <f>NPV(disc_rate_cap,$B$19:$B29)</f>
        <v>68.381667898108944</v>
      </c>
      <c r="N27" s="74">
        <f t="shared" si="3"/>
        <v>9.0330576123232564</v>
      </c>
      <c r="O27" s="86">
        <f>NPV(disc_rate_ene,$C$19:$C29)</f>
        <v>0.74709694536598581</v>
      </c>
      <c r="P27" s="90">
        <f t="shared" si="4"/>
        <v>9.8689750585453304E-2</v>
      </c>
      <c r="Q27" s="89">
        <f>NPV(disc_rate_cap,$B$20:$B30)</f>
        <v>142.73320312402768</v>
      </c>
      <c r="R27" s="74">
        <f t="shared" si="5"/>
        <v>18.854720667707422</v>
      </c>
      <c r="S27" s="86">
        <f>NPV(disc_rate_ene,$C$20:$C30)</f>
        <v>0.78044229469269366</v>
      </c>
      <c r="T27" s="397">
        <f t="shared" si="6"/>
        <v>0.1030945928601403</v>
      </c>
      <c r="U27" s="89">
        <f>NPV(disc_rate_cap,$B$21:$B31)</f>
        <v>223.48610008948822</v>
      </c>
      <c r="V27" s="74">
        <f t="shared" si="7"/>
        <v>29.521988563803614</v>
      </c>
      <c r="W27" s="86">
        <f>NPV(disc_rate_ene,$C$21:$C31)</f>
        <v>0.82755901215802585</v>
      </c>
      <c r="X27" s="90">
        <f t="shared" si="8"/>
        <v>0.10931860049917703</v>
      </c>
      <c r="Y27" s="89">
        <f>NPV(disc_rate_cap,$B$22:$B32)</f>
        <v>311.10210587314828</v>
      </c>
      <c r="Z27" s="74">
        <f t="shared" si="9"/>
        <v>41.095857004461173</v>
      </c>
      <c r="AA27" s="86">
        <f>NPV(disc_rate_ene,$C$22:$C32)</f>
        <v>0.87747139990212608</v>
      </c>
      <c r="AB27" s="90">
        <f t="shared" si="10"/>
        <v>0.11591190961139221</v>
      </c>
      <c r="AC27" s="89">
        <f>NPV(disc_rate_cap,$B$23:$B33)</f>
        <v>406.07488260625564</v>
      </c>
      <c r="AD27" s="74">
        <f t="shared" si="11"/>
        <v>53.641537596966828</v>
      </c>
      <c r="AE27" s="86">
        <f>NPV(disc_rate_ene,$C$23:$C33)</f>
        <v>0.8868536909755087</v>
      </c>
      <c r="AF27" s="90">
        <f t="shared" si="12"/>
        <v>0.11715128821104459</v>
      </c>
      <c r="AG27" s="89">
        <f>NPV(disc_rate_cap,$B$24:$B34)</f>
        <v>508.93185200026102</v>
      </c>
      <c r="AH27" s="74">
        <f t="shared" si="13"/>
        <v>67.228701509807195</v>
      </c>
      <c r="AI27" s="86">
        <f>NPV(disc_rate_ene,$C$24:$C34)</f>
        <v>0.90113127086127576</v>
      </c>
      <c r="AJ27" s="90">
        <f t="shared" si="14"/>
        <v>0.1190373229574455</v>
      </c>
    </row>
    <row r="28" spans="1:36" s="9" customFormat="1">
      <c r="A28" s="51">
        <f t="shared" si="16"/>
        <v>2021</v>
      </c>
      <c r="B28" s="132">
        <f>'Avoided Energy &amp; Capacity Costs'!$D26</f>
        <v>0</v>
      </c>
      <c r="C28" s="133">
        <f>'Avoided Energy &amp; Capacity Costs'!$B26/1000</f>
        <v>0.11434999999999997</v>
      </c>
      <c r="D28" s="91">
        <v>12</v>
      </c>
      <c r="E28" s="89">
        <f>NPV(disc_rate_cap,$B$17:$B28)</f>
        <v>0</v>
      </c>
      <c r="F28" s="74">
        <f t="shared" si="0"/>
        <v>0</v>
      </c>
      <c r="G28" s="86">
        <f>NPV(disc_rate_ene,$C$17:$C28)</f>
        <v>0.83475436280037896</v>
      </c>
      <c r="H28" s="90">
        <f t="shared" si="1"/>
        <v>0.10403556126725758</v>
      </c>
      <c r="I28" s="89">
        <f>NPV(disc_rate_cap,$B$18:$B29)</f>
        <v>64.021784381714198</v>
      </c>
      <c r="J28" s="74">
        <f t="shared" si="2"/>
        <v>7.9790445768245322</v>
      </c>
      <c r="K28" s="53">
        <f>NPV(disc_rate_ene,$C$18:$C29)</f>
        <v>0.80098788374006435</v>
      </c>
      <c r="L28" s="90">
        <f t="shared" si="15"/>
        <v>9.9827239924348943E-2</v>
      </c>
      <c r="M28" s="89">
        <f>NPV(disc_rate_cap,$B$19:$B30)</f>
        <v>133.63280884189464</v>
      </c>
      <c r="N28" s="74">
        <f t="shared" si="3"/>
        <v>16.654676981797667</v>
      </c>
      <c r="O28" s="86">
        <f>NPV(disc_rate_ene,$C$19:$C30)</f>
        <v>0.80086279744588784</v>
      </c>
      <c r="P28" s="90">
        <f t="shared" si="4"/>
        <v>9.9811650400770002E-2</v>
      </c>
      <c r="Q28" s="89">
        <f>NPV(disc_rate_cap,$B$20:$B31)</f>
        <v>209.23705653917068</v>
      </c>
      <c r="R28" s="74">
        <f t="shared" si="5"/>
        <v>26.077245696488912</v>
      </c>
      <c r="S28" s="86">
        <f>NPV(disc_rate_ene,$C$20:$C31)</f>
        <v>0.83912426509001137</v>
      </c>
      <c r="T28" s="397">
        <f t="shared" si="6"/>
        <v>0.10458018284414858</v>
      </c>
      <c r="U28" s="89">
        <f>NPV(disc_rate_cap,$B$21:$B32)</f>
        <v>291.26683444728798</v>
      </c>
      <c r="V28" s="74">
        <f t="shared" si="7"/>
        <v>36.300629203788141</v>
      </c>
      <c r="W28" s="86">
        <f>NPV(disc_rate_ene,$C$21:$C32)</f>
        <v>0.886475513855282</v>
      </c>
      <c r="X28" s="90">
        <f t="shared" si="8"/>
        <v>0.11048157607014421</v>
      </c>
      <c r="Y28" s="89">
        <f>NPV(disc_rate_cap,$B$22:$B33)</f>
        <v>380.18432975026275</v>
      </c>
      <c r="Z28" s="74">
        <f t="shared" si="9"/>
        <v>47.382429961666752</v>
      </c>
      <c r="AA28" s="86">
        <f>NPV(disc_rate_ene,$C$22:$C33)</f>
        <v>0.93445281417844139</v>
      </c>
      <c r="AB28" s="90">
        <f t="shared" si="10"/>
        <v>0.11646099419557099</v>
      </c>
      <c r="AC28" s="89">
        <f>NPV(disc_rate_cap,$B$23:$B34)</f>
        <v>476.48333676646467</v>
      </c>
      <c r="AD28" s="74">
        <f t="shared" si="11"/>
        <v>59.384189629984824</v>
      </c>
      <c r="AE28" s="86">
        <f>NPV(disc_rate_ene,$C$23:$C34)</f>
        <v>0.9436080611578721</v>
      </c>
      <c r="AF28" s="90">
        <f t="shared" si="12"/>
        <v>0.11760201399791159</v>
      </c>
      <c r="AG28" s="89">
        <f>NPV(disc_rate_cap,$B$24:$B35)</f>
        <v>580.69264495526988</v>
      </c>
      <c r="AH28" s="74">
        <f t="shared" si="13"/>
        <v>72.371811318267731</v>
      </c>
      <c r="AI28" s="86">
        <f>NPV(disc_rate_ene,$C$24:$C35)</f>
        <v>0.96079974139641833</v>
      </c>
      <c r="AJ28" s="90">
        <f t="shared" si="14"/>
        <v>0.11974461568105138</v>
      </c>
    </row>
    <row r="29" spans="1:36" s="9" customFormat="1">
      <c r="A29" s="51">
        <f t="shared" si="16"/>
        <v>2022</v>
      </c>
      <c r="B29" s="132">
        <f>'Avoided Energy &amp; Capacity Costs'!$D27</f>
        <v>141.14670857142855</v>
      </c>
      <c r="C29" s="133">
        <f>'Avoided Energy &amp; Capacity Costs'!$B27/1000</f>
        <v>9.5053101893893405E-2</v>
      </c>
      <c r="D29" s="91">
        <v>13</v>
      </c>
      <c r="E29" s="89">
        <f>NPV(disc_rate_cap,$B$17:$B29)</f>
        <v>59.939878645926605</v>
      </c>
      <c r="F29" s="74">
        <f t="shared" si="0"/>
        <v>7.0948165300111521</v>
      </c>
      <c r="G29" s="86">
        <f>NPV(disc_rate_ene,$C$17:$C29)</f>
        <v>0.87511996147500626</v>
      </c>
      <c r="H29" s="90">
        <f t="shared" si="1"/>
        <v>0.10358405303240525</v>
      </c>
      <c r="I29" s="89">
        <f>NPV(disc_rate_cap,$B$18:$B30)</f>
        <v>125.11263818171953</v>
      </c>
      <c r="J29" s="74">
        <f t="shared" si="2"/>
        <v>14.809025869545886</v>
      </c>
      <c r="K29" s="53">
        <f>NPV(disc_rate_ene,$C$18:$C30)</f>
        <v>0.85132572858596078</v>
      </c>
      <c r="L29" s="90">
        <f t="shared" si="15"/>
        <v>0.10076763563828017</v>
      </c>
      <c r="M29" s="89">
        <f>NPV(disc_rate_cap,$B$19:$B31)</f>
        <v>195.89650457744656</v>
      </c>
      <c r="N29" s="74">
        <f t="shared" si="3"/>
        <v>23.187396942484881</v>
      </c>
      <c r="O29" s="86">
        <f>NPV(disc_rate_ene,$C$19:$C31)</f>
        <v>0.85580331836838353</v>
      </c>
      <c r="P29" s="90">
        <f t="shared" si="4"/>
        <v>0.1012976280026391</v>
      </c>
      <c r="Q29" s="89">
        <f>NPV(disc_rate_cap,$B$20:$B32)</f>
        <v>272.69622174636072</v>
      </c>
      <c r="R29" s="74">
        <f t="shared" si="5"/>
        <v>32.277837483562323</v>
      </c>
      <c r="S29" s="86">
        <f>NPV(disc_rate_ene,$C$20:$C32)</f>
        <v>0.89428436404821388</v>
      </c>
      <c r="T29" s="397">
        <f t="shared" si="6"/>
        <v>0.10585245802814046</v>
      </c>
      <c r="U29" s="89">
        <f>NPV(disc_rate_cap,$B$21:$B33)</f>
        <v>355.94450870729588</v>
      </c>
      <c r="V29" s="74">
        <f t="shared" si="7"/>
        <v>42.131566516190134</v>
      </c>
      <c r="W29" s="86">
        <f>NPV(disc_rate_ene,$C$21:$C33)</f>
        <v>0.93982390284162709</v>
      </c>
      <c r="X29" s="90">
        <f t="shared" si="8"/>
        <v>0.11124277045284788</v>
      </c>
      <c r="Y29" s="89">
        <f>NPV(disc_rate_cap,$B$22:$B34)</f>
        <v>446.10367640339359</v>
      </c>
      <c r="Z29" s="74">
        <f t="shared" si="9"/>
        <v>52.803305728091118</v>
      </c>
      <c r="AA29" s="86">
        <f>NPV(disc_rate_ene,$C$22:$C34)</f>
        <v>0.98758863496522475</v>
      </c>
      <c r="AB29" s="90">
        <f t="shared" si="10"/>
        <v>0.11689646910352215</v>
      </c>
      <c r="AC29" s="89">
        <f>NPV(disc_rate_cap,$B$23:$B35)</f>
        <v>543.66879969597392</v>
      </c>
      <c r="AD29" s="74">
        <f t="shared" si="11"/>
        <v>64.351654926088969</v>
      </c>
      <c r="AE29" s="86">
        <f>NPV(disc_rate_ene,$C$23:$C35)</f>
        <v>0.99947218486833223</v>
      </c>
      <c r="AF29" s="90">
        <f t="shared" si="12"/>
        <v>0.1183030719894876</v>
      </c>
      <c r="AG29" s="89">
        <f>NPV(disc_rate_cap,$B$24:$B36)</f>
        <v>649.16761390786269</v>
      </c>
      <c r="AH29" s="74">
        <f t="shared" si="13"/>
        <v>76.839079790402565</v>
      </c>
      <c r="AI29" s="86">
        <f>NPV(disc_rate_ene,$C$24:$C36)</f>
        <v>1.0170227850708791</v>
      </c>
      <c r="AJ29" s="90">
        <f t="shared" si="14"/>
        <v>0.12038045838468191</v>
      </c>
    </row>
    <row r="30" spans="1:36" s="9" customFormat="1">
      <c r="A30" s="51">
        <f t="shared" si="16"/>
        <v>2023</v>
      </c>
      <c r="B30" s="132">
        <f>'Avoided Energy &amp; Capacity Costs'!$D28</f>
        <v>143.8570302857143</v>
      </c>
      <c r="C30" s="133">
        <f>'Avoided Energy &amp; Capacity Costs'!$B28/1000</f>
        <v>0.11853579415046712</v>
      </c>
      <c r="D30" s="91">
        <v>14</v>
      </c>
      <c r="E30" s="89">
        <f>NPV(disc_rate_cap,$B$17:$B30)</f>
        <v>117.13569720224658</v>
      </c>
      <c r="F30" s="74">
        <f t="shared" si="0"/>
        <v>13.241668529337815</v>
      </c>
      <c r="G30" s="86">
        <f>NPV(disc_rate_ene,$C$17:$C30)</f>
        <v>0.92224836222952034</v>
      </c>
      <c r="H30" s="90">
        <f t="shared" si="1"/>
        <v>0.10425606716014629</v>
      </c>
      <c r="I30" s="89">
        <f>NPV(disc_rate_cap,$B$18:$B31)</f>
        <v>183.40652052939478</v>
      </c>
      <c r="J30" s="74">
        <f t="shared" si="2"/>
        <v>20.733289756889395</v>
      </c>
      <c r="K30" s="53">
        <f>NPV(disc_rate_ene,$C$18:$C31)</f>
        <v>0.90276334765018296</v>
      </c>
      <c r="L30" s="90">
        <f t="shared" si="15"/>
        <v>0.10205337310093554</v>
      </c>
      <c r="M30" s="89">
        <f>NPV(disc_rate_cap,$B$19:$B32)</f>
        <v>255.30963556442353</v>
      </c>
      <c r="N30" s="74">
        <f t="shared" si="3"/>
        <v>28.861616460548063</v>
      </c>
      <c r="O30" s="86">
        <f>NPV(disc_rate_ene,$C$19:$C32)</f>
        <v>0.90744651559542466</v>
      </c>
      <c r="P30" s="90">
        <f t="shared" si="4"/>
        <v>0.10258278436564197</v>
      </c>
      <c r="Q30" s="89">
        <f>NPV(disc_rate_cap,$B$20:$B33)</f>
        <v>333.25017199447228</v>
      </c>
      <c r="R30" s="74">
        <f t="shared" si="5"/>
        <v>37.672446745900992</v>
      </c>
      <c r="S30" s="86">
        <f>NPV(disc_rate_ene,$C$20:$C33)</f>
        <v>0.94423136244381844</v>
      </c>
      <c r="T30" s="397">
        <f t="shared" si="6"/>
        <v>0.10674114736260157</v>
      </c>
      <c r="U30" s="89">
        <f>NPV(disc_rate_cap,$B$21:$B34)</f>
        <v>417.66096470685665</v>
      </c>
      <c r="V30" s="74">
        <f t="shared" si="7"/>
        <v>47.214710667941318</v>
      </c>
      <c r="W30" s="86">
        <f>NPV(disc_rate_ene,$C$21:$C34)</f>
        <v>0.98957188597689871</v>
      </c>
      <c r="X30" s="90">
        <f t="shared" si="8"/>
        <v>0.11186669147862852</v>
      </c>
      <c r="Y30" s="89">
        <f>NPV(disc_rate_cap,$B$22:$B35)</f>
        <v>509.00552354271508</v>
      </c>
      <c r="Z30" s="74">
        <f t="shared" si="9"/>
        <v>57.540805948482621</v>
      </c>
      <c r="AA30" s="86">
        <f>NPV(disc_rate_ene,$C$22:$C35)</f>
        <v>1.0398909696815062</v>
      </c>
      <c r="AB30" s="90">
        <f t="shared" si="10"/>
        <v>0.11755503963406713</v>
      </c>
      <c r="AC30" s="89">
        <f>NPV(disc_rate_cap,$B$23:$B36)</f>
        <v>607.77793643653456</v>
      </c>
      <c r="AD30" s="74">
        <f t="shared" si="11"/>
        <v>68.70658702651393</v>
      </c>
      <c r="AE30" s="86">
        <f>NPV(disc_rate_ene,$C$23:$C36)</f>
        <v>1.0521105555025994</v>
      </c>
      <c r="AF30" s="90">
        <f t="shared" si="12"/>
        <v>0.11893640935203907</v>
      </c>
      <c r="AG30" s="89">
        <f>NPV(disc_rate_cap,$B$24:$B37)</f>
        <v>714.5079091569105</v>
      </c>
      <c r="AH30" s="74">
        <f t="shared" si="13"/>
        <v>80.771934778432026</v>
      </c>
      <c r="AI30" s="86">
        <f>NPV(disc_rate_ene,$C$24:$C37)</f>
        <v>1.0721583062714413</v>
      </c>
      <c r="AJ30" s="90">
        <f t="shared" si="14"/>
        <v>0.12120271822952351</v>
      </c>
    </row>
    <row r="31" spans="1:36" s="9" customFormat="1">
      <c r="A31" s="51">
        <f t="shared" si="16"/>
        <v>2024</v>
      </c>
      <c r="B31" s="132">
        <f>'Avoided Energy &amp; Capacity Costs'!$D29</f>
        <v>146.618844</v>
      </c>
      <c r="C31" s="133">
        <f>'Avoided Energy &amp; Capacity Costs'!$B29/1000</f>
        <v>0.12937419745571954</v>
      </c>
      <c r="D31" s="91">
        <v>15</v>
      </c>
      <c r="E31" s="89">
        <f>NPV(disc_rate_cap,$B$17:$B31)</f>
        <v>171.71287382210917</v>
      </c>
      <c r="F31" s="74">
        <f t="shared" si="0"/>
        <v>18.627530456240059</v>
      </c>
      <c r="G31" s="86">
        <f>NPV(disc_rate_ene,$C$17:$C31)</f>
        <v>0.97040641771516978</v>
      </c>
      <c r="H31" s="90">
        <f t="shared" si="1"/>
        <v>0.10527035450846142</v>
      </c>
      <c r="I31" s="89">
        <f>NPV(disc_rate_cap,$B$18:$B32)</f>
        <v>239.03158464977389</v>
      </c>
      <c r="J31" s="74">
        <f t="shared" si="2"/>
        <v>25.930310430187962</v>
      </c>
      <c r="K31" s="53">
        <f>NPV(disc_rate_ene,$C$18:$C32)</f>
        <v>0.95111387403071013</v>
      </c>
      <c r="L31" s="90">
        <f t="shared" si="15"/>
        <v>0.10317748612264128</v>
      </c>
      <c r="M31" s="89">
        <f>NPV(disc_rate_cap,$B$19:$B33)</f>
        <v>312.00278250582556</v>
      </c>
      <c r="N31" s="74">
        <f t="shared" si="3"/>
        <v>33.846276078169019</v>
      </c>
      <c r="O31" s="86">
        <f>NPV(disc_rate_ene,$C$19:$C33)</f>
        <v>0.95420898951697186</v>
      </c>
      <c r="P31" s="90">
        <f t="shared" si="4"/>
        <v>0.10351324637580465</v>
      </c>
      <c r="Q31" s="89">
        <f>NPV(disc_rate_cap,$B$20:$B34)</f>
        <v>391.03170555833407</v>
      </c>
      <c r="R31" s="74">
        <f t="shared" si="5"/>
        <v>42.419387914906032</v>
      </c>
      <c r="S31" s="86">
        <f>NPV(disc_rate_ene,$C$20:$C34)</f>
        <v>0.99080750993494415</v>
      </c>
      <c r="T31" s="397">
        <f t="shared" si="6"/>
        <v>0.10748347900056039</v>
      </c>
      <c r="U31" s="89">
        <f>NPV(disc_rate_cap,$B$21:$B35)</f>
        <v>476.55231115318327</v>
      </c>
      <c r="V31" s="74">
        <f t="shared" si="7"/>
        <v>51.696721931250671</v>
      </c>
      <c r="W31" s="86">
        <f>NPV(disc_rate_ene,$C$21:$C35)</f>
        <v>1.0385395245091349</v>
      </c>
      <c r="X31" s="90">
        <f t="shared" si="8"/>
        <v>0.11266148071602612</v>
      </c>
      <c r="Y31" s="89">
        <f>NPV(disc_rate_cap,$B$22:$B36)</f>
        <v>569.02718512923377</v>
      </c>
      <c r="Z31" s="74">
        <f t="shared" si="9"/>
        <v>61.728459756630002</v>
      </c>
      <c r="AA31" s="86">
        <f>NPV(disc_rate_ene,$C$22:$C36)</f>
        <v>1.0891732191284376</v>
      </c>
      <c r="AB31" s="90">
        <f t="shared" si="10"/>
        <v>0.11815425867517981</v>
      </c>
      <c r="AC31" s="89">
        <f>NPV(disc_rate_cap,$B$23:$B37)</f>
        <v>668.95226023491284</v>
      </c>
      <c r="AD31" s="74">
        <f t="shared" si="11"/>
        <v>72.568400516118061</v>
      </c>
      <c r="AE31" s="86">
        <f>NPV(disc_rate_ene,$C$23:$C37)</f>
        <v>1.1037307420025173</v>
      </c>
      <c r="AF31" s="90">
        <f t="shared" si="12"/>
        <v>0.11973346875226033</v>
      </c>
      <c r="AG31" s="89">
        <f>NPV(disc_rate_cap,$B$24:$B38)</f>
        <v>776.85660539194191</v>
      </c>
      <c r="AH31" s="74">
        <f t="shared" si="13"/>
        <v>84.273937969620292</v>
      </c>
      <c r="AI31" s="86">
        <f>NPV(disc_rate_ene,$C$24:$C38)</f>
        <v>1.1259167721436996</v>
      </c>
      <c r="AJ31" s="90">
        <f t="shared" si="14"/>
        <v>0.12214022453567394</v>
      </c>
    </row>
    <row r="32" spans="1:36" s="9" customFormat="1">
      <c r="A32" s="51">
        <f t="shared" si="16"/>
        <v>2025</v>
      </c>
      <c r="B32" s="132">
        <f>'Avoided Energy &amp; Capacity Costs'!$D30</f>
        <v>149.43394114285715</v>
      </c>
      <c r="C32" s="133">
        <f>'Avoided Energy &amp; Capacity Costs'!$B30/1000</f>
        <v>0.12989126084848482</v>
      </c>
      <c r="D32" s="91">
        <v>16</v>
      </c>
      <c r="E32" s="89">
        <f>NPV(disc_rate_cap,$B$17:$B32)</f>
        <v>223.79139092760408</v>
      </c>
      <c r="F32" s="74">
        <f t="shared" si="0"/>
        <v>23.392658747092174</v>
      </c>
      <c r="G32" s="86">
        <f>NPV(disc_rate_ene,$C$17:$C32)</f>
        <v>1.0156742076042504</v>
      </c>
      <c r="H32" s="90">
        <f t="shared" si="1"/>
        <v>0.10616726603390905</v>
      </c>
      <c r="I32" s="89">
        <f>NPV(disc_rate_cap,$B$18:$B33)</f>
        <v>292.11008567159024</v>
      </c>
      <c r="J32" s="74">
        <f t="shared" si="2"/>
        <v>30.533933956869244</v>
      </c>
      <c r="K32" s="53">
        <f>NPV(disc_rate_ene,$C$18:$C33)</f>
        <v>0.99489486262873184</v>
      </c>
      <c r="L32" s="90">
        <f t="shared" si="15"/>
        <v>0.10399522481290578</v>
      </c>
      <c r="M32" s="89">
        <f>NPV(disc_rate_cap,$B$19:$B34)</f>
        <v>366.10027671410359</v>
      </c>
      <c r="N32" s="74">
        <f t="shared" si="3"/>
        <v>38.268044203539048</v>
      </c>
      <c r="O32" s="86">
        <f>NPV(disc_rate_ene,$C$19:$C34)</f>
        <v>0.99781553149911395</v>
      </c>
      <c r="P32" s="90">
        <f t="shared" si="4"/>
        <v>0.10430051899743592</v>
      </c>
      <c r="Q32" s="89">
        <f>NPV(disc_rate_cap,$B$20:$B35)</f>
        <v>446.16825311598467</v>
      </c>
      <c r="R32" s="74">
        <f t="shared" si="5"/>
        <v>46.637458419054354</v>
      </c>
      <c r="S32" s="86">
        <f>NPV(disc_rate_ene,$C$20:$C35)</f>
        <v>1.0366530660928284</v>
      </c>
      <c r="T32" s="397">
        <f t="shared" si="6"/>
        <v>0.10836016217478696</v>
      </c>
      <c r="U32" s="89">
        <f>NPV(disc_rate_cap,$B$21:$B36)</f>
        <v>532.74710713344609</v>
      </c>
      <c r="V32" s="74">
        <f t="shared" si="7"/>
        <v>55.687447242797667</v>
      </c>
      <c r="W32" s="86">
        <f>NPV(disc_rate_ene,$C$21:$C36)</f>
        <v>1.0846796325953918</v>
      </c>
      <c r="X32" s="90">
        <f t="shared" si="8"/>
        <v>0.11338032437286022</v>
      </c>
      <c r="Y32" s="89">
        <f>NPV(disc_rate_cap,$B$22:$B37)</f>
        <v>626.30115179750294</v>
      </c>
      <c r="Z32" s="74">
        <f t="shared" si="9"/>
        <v>65.466544786118561</v>
      </c>
      <c r="AA32" s="86">
        <f>NPV(disc_rate_ene,$C$22:$C37)</f>
        <v>1.1375022019015091</v>
      </c>
      <c r="AB32" s="90">
        <f t="shared" si="10"/>
        <v>0.11890180727173706</v>
      </c>
      <c r="AC32" s="89">
        <f>NPV(disc_rate_cap,$B$23:$B38)</f>
        <v>727.32572361383927</v>
      </c>
      <c r="AD32" s="74">
        <f t="shared" si="11"/>
        <v>76.026528008775969</v>
      </c>
      <c r="AE32" s="86">
        <f>NPV(disc_rate_ene,$C$23:$C38)</f>
        <v>1.1540616715711518</v>
      </c>
      <c r="AF32" s="90">
        <f t="shared" si="12"/>
        <v>0.12063274974190603</v>
      </c>
      <c r="AG32" s="89">
        <f>NPV(disc_rate_cap,$B$24:$B39)</f>
        <v>836.35081215554681</v>
      </c>
      <c r="AH32" s="74">
        <f t="shared" si="13"/>
        <v>87.422796116125625</v>
      </c>
      <c r="AI32" s="86">
        <f>NPV(disc_rate_ene,$C$24:$C39)</f>
        <v>1.1788739004897391</v>
      </c>
      <c r="AJ32" s="90">
        <f t="shared" si="14"/>
        <v>0.12322634371994698</v>
      </c>
    </row>
    <row r="33" spans="1:36" s="9" customFormat="1">
      <c r="A33" s="51">
        <f t="shared" si="16"/>
        <v>2026</v>
      </c>
      <c r="B33" s="132">
        <f>'Avoided Energy &amp; Capacity Costs'!$D31</f>
        <v>152.303292</v>
      </c>
      <c r="C33" s="133">
        <f>'Avoided Energy &amp; Capacity Costs'!$B31/1000</f>
        <v>0.12562503767302152</v>
      </c>
      <c r="D33" s="91">
        <v>17</v>
      </c>
      <c r="E33" s="89">
        <f>NPV(disc_rate_cap,$B$17:$B33)</f>
        <v>273.48570889578718</v>
      </c>
      <c r="F33" s="74">
        <f t="shared" si="0"/>
        <v>27.644306174658791</v>
      </c>
      <c r="G33" s="86">
        <f>NPV(disc_rate_ene,$C$17:$C33)</f>
        <v>1.0566638046438739</v>
      </c>
      <c r="H33" s="90">
        <f t="shared" si="1"/>
        <v>0.10680900971825903</v>
      </c>
      <c r="I33" s="89">
        <f>NPV(disc_rate_cap,$B$18:$B34)</f>
        <v>342.75842778213985</v>
      </c>
      <c r="J33" s="74">
        <f t="shared" si="2"/>
        <v>34.646486501291939</v>
      </c>
      <c r="K33" s="53">
        <f>NPV(disc_rate_ene,$C$18:$C34)</f>
        <v>1.0357211354329092</v>
      </c>
      <c r="L33" s="90">
        <f t="shared" si="15"/>
        <v>0.10469209632589191</v>
      </c>
      <c r="M33" s="89">
        <f>NPV(disc_rate_cap,$B$19:$B35)</f>
        <v>417.7214241325575</v>
      </c>
      <c r="N33" s="74">
        <f t="shared" si="3"/>
        <v>42.223847787363503</v>
      </c>
      <c r="O33" s="86">
        <f>NPV(disc_rate_ene,$C$19:$C35)</f>
        <v>1.0407380632450969</v>
      </c>
      <c r="P33" s="90">
        <f t="shared" si="4"/>
        <v>0.10519921418976949</v>
      </c>
      <c r="Q33" s="89">
        <f>NPV(disc_rate_cap,$B$20:$B36)</f>
        <v>498.78017707466159</v>
      </c>
      <c r="R33" s="74">
        <f t="shared" si="5"/>
        <v>50.41737641273464</v>
      </c>
      <c r="S33" s="86">
        <f>NPV(disc_rate_ene,$C$20:$C36)</f>
        <v>1.0798513697032179</v>
      </c>
      <c r="T33" s="397">
        <f t="shared" si="6"/>
        <v>0.10915284022601542</v>
      </c>
      <c r="U33" s="89">
        <f>NPV(disc_rate_cap,$B$21:$B37)</f>
        <v>586.36939593437205</v>
      </c>
      <c r="V33" s="74">
        <f t="shared" si="7"/>
        <v>59.271013385333077</v>
      </c>
      <c r="W33" s="86">
        <f>NPV(disc_rate_ene,$C$21:$C37)</f>
        <v>1.1299272524559587</v>
      </c>
      <c r="X33" s="90">
        <f t="shared" si="8"/>
        <v>0.11421457833427826</v>
      </c>
      <c r="Y33" s="89">
        <f>NPV(disc_rate_cap,$B$22:$B38)</f>
        <v>680.95283551525085</v>
      </c>
      <c r="Z33" s="74">
        <f t="shared" si="9"/>
        <v>68.831635669338752</v>
      </c>
      <c r="AA33" s="86">
        <f>NPV(disc_rate_ene,$C$22:$C38)</f>
        <v>1.1846241282835279</v>
      </c>
      <c r="AB33" s="90">
        <f t="shared" si="10"/>
        <v>0.11974341268646295</v>
      </c>
      <c r="AC33" s="89">
        <f>NPV(disc_rate_cap,$B$23:$B39)</f>
        <v>783.02669427539229</v>
      </c>
      <c r="AD33" s="74">
        <f t="shared" si="11"/>
        <v>79.149399677510289</v>
      </c>
      <c r="AE33" s="86">
        <f>NPV(disc_rate_ene,$C$23:$C39)</f>
        <v>1.2036423553517335</v>
      </c>
      <c r="AF33" s="90">
        <f t="shared" si="12"/>
        <v>0.12166580085839115</v>
      </c>
      <c r="AG33" s="89">
        <f>NPV(disc_rate_cap,$B$24:$B40)</f>
        <v>893.12124145380164</v>
      </c>
      <c r="AH33" s="74">
        <f t="shared" si="13"/>
        <v>90.277905743324851</v>
      </c>
      <c r="AI33" s="86">
        <f>NPV(disc_rate_ene,$C$24:$C40)</f>
        <v>1.2294065333989079</v>
      </c>
      <c r="AJ33" s="90">
        <f t="shared" si="14"/>
        <v>0.12427007889964672</v>
      </c>
    </row>
    <row r="34" spans="1:36" s="9" customFormat="1">
      <c r="A34" s="51">
        <f t="shared" si="16"/>
        <v>2027</v>
      </c>
      <c r="B34" s="132">
        <f>'Avoided Energy &amp; Capacity Costs'!$D32</f>
        <v>155.22718799999998</v>
      </c>
      <c r="C34" s="133">
        <f>'Avoided Energy &amp; Capacity Costs'!$B32/1000</f>
        <v>0.12512448107542953</v>
      </c>
      <c r="D34" s="91">
        <v>18</v>
      </c>
      <c r="E34" s="89">
        <f>NPV(disc_rate_cap,$B$17:$B34)</f>
        <v>320.90481020704044</v>
      </c>
      <c r="F34" s="74">
        <f t="shared" si="0"/>
        <v>31.465873368144674</v>
      </c>
      <c r="G34" s="86">
        <f>NPV(disc_rate_ene,$C$17:$C34)</f>
        <v>1.0948870728810964</v>
      </c>
      <c r="H34" s="90">
        <f t="shared" si="1"/>
        <v>0.10735762410500421</v>
      </c>
      <c r="I34" s="89">
        <f>NPV(disc_rate_cap,$B$18:$B35)</f>
        <v>391.08831020743139</v>
      </c>
      <c r="J34" s="74">
        <f t="shared" si="2"/>
        <v>38.347618525285455</v>
      </c>
      <c r="K34" s="53">
        <f>NPV(disc_rate_ene,$C$18:$C35)</f>
        <v>1.0759070091769245</v>
      </c>
      <c r="L34" s="90">
        <f t="shared" si="15"/>
        <v>0.10549656044363535</v>
      </c>
      <c r="M34" s="89">
        <f>NPV(disc_rate_cap,$B$19:$B36)</f>
        <v>466.97891309302639</v>
      </c>
      <c r="N34" s="74">
        <f t="shared" si="3"/>
        <v>45.788965692034466</v>
      </c>
      <c r="O34" s="86">
        <f>NPV(disc_rate_ene,$C$19:$C36)</f>
        <v>1.0811821261702814</v>
      </c>
      <c r="P34" s="90">
        <f t="shared" si="4"/>
        <v>0.10601380467941987</v>
      </c>
      <c r="Q34" s="89">
        <f>NPV(disc_rate_cap,$B$20:$B37)</f>
        <v>548.98361195990276</v>
      </c>
      <c r="R34" s="74">
        <f t="shared" si="5"/>
        <v>53.829822008501601</v>
      </c>
      <c r="S34" s="86">
        <f>NPV(disc_rate_ene,$C$20:$C37)</f>
        <v>1.1222140884192249</v>
      </c>
      <c r="T34" s="397">
        <f t="shared" si="6"/>
        <v>0.11003713648095553</v>
      </c>
      <c r="U34" s="89">
        <f>NPV(disc_rate_cap,$B$21:$B38)</f>
        <v>637.53659349803456</v>
      </c>
      <c r="V34" s="74">
        <f t="shared" si="7"/>
        <v>62.512761044699864</v>
      </c>
      <c r="W34" s="86">
        <f>NPV(disc_rate_ene,$C$21:$C38)</f>
        <v>1.1740447755174876</v>
      </c>
      <c r="X34" s="90">
        <f t="shared" si="8"/>
        <v>0.11511932217884409</v>
      </c>
      <c r="Y34" s="89">
        <f>NPV(disc_rate_cap,$B$22:$B39)</f>
        <v>733.10241950696798</v>
      </c>
      <c r="Z34" s="74">
        <f t="shared" si="9"/>
        <v>71.883334759625356</v>
      </c>
      <c r="AA34" s="86">
        <f>NPV(disc_rate_ene,$C$22:$C39)</f>
        <v>1.2310436431047822</v>
      </c>
      <c r="AB34" s="90">
        <f t="shared" si="10"/>
        <v>0.12070826660280681</v>
      </c>
      <c r="AC34" s="89">
        <f>NPV(disc_rate_cap,$B$23:$B40)</f>
        <v>836.17755027975033</v>
      </c>
      <c r="AD34" s="74">
        <f t="shared" si="11"/>
        <v>81.990222874542624</v>
      </c>
      <c r="AE34" s="86">
        <f>NPV(disc_rate_ene,$C$23:$C40)</f>
        <v>1.2509531248575558</v>
      </c>
      <c r="AF34" s="90">
        <f t="shared" si="12"/>
        <v>0.1226604630540036</v>
      </c>
      <c r="AG34" s="89">
        <f>NPV(disc_rate_cap,$B$24:$B41)</f>
        <v>947.29259389344338</v>
      </c>
      <c r="AH34" s="74">
        <f t="shared" si="13"/>
        <v>92.885453424027347</v>
      </c>
      <c r="AI34" s="86">
        <f>NPV(disc_rate_ene,$C$24:$C41)</f>
        <v>1.2776256696792421</v>
      </c>
      <c r="AJ34" s="90">
        <f t="shared" si="14"/>
        <v>0.12527580221711512</v>
      </c>
    </row>
    <row r="35" spans="1:36" s="9" customFormat="1">
      <c r="A35" s="51">
        <f t="shared" si="16"/>
        <v>2028</v>
      </c>
      <c r="B35" s="132">
        <f>'Avoided Energy &amp; Capacity Costs'!$D33</f>
        <v>158.20864457142855</v>
      </c>
      <c r="C35" s="133">
        <f>'Avoided Energy &amp; Capacity Costs'!$B33/1000</f>
        <v>0.13154910165128292</v>
      </c>
      <c r="D35" s="91">
        <v>19</v>
      </c>
      <c r="E35" s="89">
        <f>NPV(disc_rate_cap,$B$17:$B35)</f>
        <v>366.15327235973359</v>
      </c>
      <c r="F35" s="74">
        <f t="shared" si="0"/>
        <v>34.923266373614219</v>
      </c>
      <c r="G35" s="86">
        <f>NPV(disc_rate_ene,$C$17:$C35)</f>
        <v>1.13251077266952</v>
      </c>
      <c r="H35" s="90">
        <f t="shared" si="1"/>
        <v>0.10801753902138493</v>
      </c>
      <c r="I35" s="89">
        <f>NPV(disc_rate_cap,$B$18:$B36)</f>
        <v>437.2052364881813</v>
      </c>
      <c r="J35" s="74">
        <f t="shared" si="2"/>
        <v>41.700118738293895</v>
      </c>
      <c r="K35" s="53">
        <f>NPV(disc_rate_ene,$C$18:$C36)</f>
        <v>1.113772436501318</v>
      </c>
      <c r="L35" s="90">
        <f t="shared" si="15"/>
        <v>0.10623029866386187</v>
      </c>
      <c r="M35" s="89">
        <f>NPV(disc_rate_cap,$B$19:$B37)</f>
        <v>513.98147360724897</v>
      </c>
      <c r="N35" s="74">
        <f t="shared" si="3"/>
        <v>49.022945495496003</v>
      </c>
      <c r="O35" s="86">
        <f>NPV(disc_rate_ene,$C$19:$C37)</f>
        <v>1.1208438794855204</v>
      </c>
      <c r="P35" s="90">
        <f t="shared" si="4"/>
        <v>0.10690476453819796</v>
      </c>
      <c r="Q35" s="89">
        <f>NPV(disc_rate_cap,$B$20:$B38)</f>
        <v>596.88848749933015</v>
      </c>
      <c r="R35" s="74">
        <f t="shared" si="5"/>
        <v>56.930518495552285</v>
      </c>
      <c r="S35" s="86">
        <f>NPV(disc_rate_ene,$C$20:$C38)</f>
        <v>1.1635187631327619</v>
      </c>
      <c r="T35" s="397">
        <f t="shared" si="6"/>
        <v>0.1109750445044832</v>
      </c>
      <c r="U35" s="89">
        <f>NPV(disc_rate_cap,$B$21:$B39)</f>
        <v>686.36122039787267</v>
      </c>
      <c r="V35" s="74">
        <f t="shared" si="7"/>
        <v>65.464322014645631</v>
      </c>
      <c r="W35" s="86">
        <f>NPV(disc_rate_ene,$C$21:$C39)</f>
        <v>1.2175046714272848</v>
      </c>
      <c r="X35" s="90">
        <f t="shared" si="8"/>
        <v>0.11612415663351211</v>
      </c>
      <c r="Y35" s="89">
        <f>NPV(disc_rate_cap,$B$22:$B40)</f>
        <v>782.86447924328297</v>
      </c>
      <c r="Z35" s="74">
        <f t="shared" si="9"/>
        <v>74.668688789412528</v>
      </c>
      <c r="AA35" s="86">
        <f>NPV(disc_rate_ene,$C$22:$C40)</f>
        <v>1.2753379690160476</v>
      </c>
      <c r="AB35" s="90">
        <f t="shared" si="10"/>
        <v>0.12164022820632751</v>
      </c>
      <c r="AC35" s="89">
        <f>NPV(disc_rate_cap,$B$23:$B41)</f>
        <v>886.89504156300268</v>
      </c>
      <c r="AD35" s="74">
        <f t="shared" si="11"/>
        <v>84.591000873295968</v>
      </c>
      <c r="AE35" s="86">
        <f>NPV(disc_rate_ene,$C$23:$C41)</f>
        <v>1.2960979018263172</v>
      </c>
      <c r="AF35" s="90">
        <f t="shared" si="12"/>
        <v>0.1236202860623149</v>
      </c>
      <c r="AG35" s="89">
        <f>NPV(disc_rate_cap,$B$24:$B42)</f>
        <v>998.9838610093343</v>
      </c>
      <c r="AH35" s="74">
        <f t="shared" si="13"/>
        <v>95.281899998136538</v>
      </c>
      <c r="AI35" s="86">
        <f>NPV(disc_rate_ene,$C$24:$C42)</f>
        <v>1.3236372263658038</v>
      </c>
      <c r="AJ35" s="90">
        <f t="shared" si="14"/>
        <v>0.12624695428910329</v>
      </c>
    </row>
    <row r="36" spans="1:36" s="9" customFormat="1">
      <c r="A36" s="51">
        <f t="shared" si="16"/>
        <v>2029</v>
      </c>
      <c r="B36" s="132">
        <f>'Avoided Energy &amp; Capacity Costs'!$D34</f>
        <v>161.24517942857145</v>
      </c>
      <c r="C36" s="133">
        <f>'Avoided Energy &amp; Capacity Costs'!$B34/1000</f>
        <v>0.13239428807313919</v>
      </c>
      <c r="D36" s="91">
        <v>20</v>
      </c>
      <c r="E36" s="89">
        <f>NPV(disc_rate_cap,$B$17:$B36)</f>
        <v>409.3298721919121</v>
      </c>
      <c r="F36" s="74">
        <f t="shared" si="0"/>
        <v>38.069130101790805</v>
      </c>
      <c r="G36" s="86">
        <f>NPV(disc_rate_ene,$C$17:$C36)</f>
        <v>1.1679619732353785</v>
      </c>
      <c r="H36" s="90">
        <f t="shared" si="1"/>
        <v>0.10862460654275327</v>
      </c>
      <c r="I36" s="89">
        <f>NPV(disc_rate_cap,$B$18:$B37)</f>
        <v>481.21100421987541</v>
      </c>
      <c r="J36" s="74">
        <f t="shared" si="2"/>
        <v>44.754330359429375</v>
      </c>
      <c r="K36" s="53">
        <f>NPV(disc_rate_ene,$C$18:$C37)</f>
        <v>1.1509054327706179</v>
      </c>
      <c r="L36" s="90">
        <f t="shared" si="15"/>
        <v>0.10703828777602763</v>
      </c>
      <c r="M36" s="89">
        <f>NPV(disc_rate_cap,$B$19:$B38)</f>
        <v>558.83202649501925</v>
      </c>
      <c r="N36" s="74">
        <f t="shared" si="3"/>
        <v>51.973360770777006</v>
      </c>
      <c r="O36" s="86">
        <f>NPV(disc_rate_ene,$C$19:$C38)</f>
        <v>1.1595150476472442</v>
      </c>
      <c r="P36" s="90">
        <f t="shared" si="4"/>
        <v>0.10783901249985364</v>
      </c>
      <c r="Q36" s="89">
        <f>NPV(disc_rate_cap,$B$20:$B39)</f>
        <v>642.60015017121304</v>
      </c>
      <c r="R36" s="74">
        <f t="shared" si="5"/>
        <v>59.764093417615911</v>
      </c>
      <c r="S36" s="86">
        <f>NPV(disc_rate_ene,$C$20:$C39)</f>
        <v>1.2042077397358864</v>
      </c>
      <c r="T36" s="397">
        <f t="shared" si="6"/>
        <v>0.11199559139943636</v>
      </c>
      <c r="U36" s="89">
        <f>NPV(disc_rate_cap,$B$21:$B40)</f>
        <v>732.9505469930557</v>
      </c>
      <c r="V36" s="74">
        <f t="shared" si="7"/>
        <v>68.167000815848837</v>
      </c>
      <c r="W36" s="86">
        <f>NPV(disc_rate_ene,$C$21:$C40)</f>
        <v>1.258974876381189</v>
      </c>
      <c r="X36" s="90">
        <f t="shared" si="8"/>
        <v>0.1170891293791787</v>
      </c>
      <c r="Y36" s="89">
        <f>NPV(disc_rate_cap,$B$22:$B41)</f>
        <v>830.34832090909356</v>
      </c>
      <c r="Z36" s="74">
        <f t="shared" si="9"/>
        <v>77.2253392825221</v>
      </c>
      <c r="AA36" s="86">
        <f>NPV(disc_rate_ene,$C$22:$C41)</f>
        <v>1.3176044019050668</v>
      </c>
      <c r="AB36" s="90">
        <f t="shared" si="10"/>
        <v>0.12254188322541722</v>
      </c>
      <c r="AC36" s="89">
        <f>NPV(disc_rate_cap,$B$23:$B42)</f>
        <v>935.29057298879673</v>
      </c>
      <c r="AD36" s="74">
        <f t="shared" si="11"/>
        <v>86.985340980429172</v>
      </c>
      <c r="AE36" s="86">
        <f>NPV(disc_rate_ene,$C$23:$C42)</f>
        <v>1.3391758502268059</v>
      </c>
      <c r="AF36" s="90">
        <f t="shared" si="12"/>
        <v>0.1245481044382666</v>
      </c>
      <c r="AG36" s="89">
        <f>NPV(disc_rate_cap,$B$24:$B43)</f>
        <v>1048.3085866385036</v>
      </c>
      <c r="AH36" s="74">
        <f t="shared" si="13"/>
        <v>97.496417150944907</v>
      </c>
      <c r="AI36" s="86">
        <f>NPV(disc_rate_ene,$C$24:$C43)</f>
        <v>1.3675422713755818</v>
      </c>
      <c r="AJ36" s="90">
        <f t="shared" si="14"/>
        <v>0.12718628222737416</v>
      </c>
    </row>
    <row r="37" spans="1:36" s="9" customFormat="1">
      <c r="A37" s="51">
        <f t="shared" si="16"/>
        <v>2030</v>
      </c>
      <c r="B37" s="132">
        <f>'Avoided Energy &amp; Capacity Costs'!$D35</f>
        <v>164.34174857142855</v>
      </c>
      <c r="C37" s="133">
        <f>'Avoided Energy &amp; Capacity Costs'!$B35/1000</f>
        <v>0.1386750385495007</v>
      </c>
      <c r="D37" s="91">
        <v>21</v>
      </c>
      <c r="E37" s="89">
        <f>NPV(disc_rate_cap,$B$17:$B37)</f>
        <v>450.52991688032535</v>
      </c>
      <c r="F37" s="74">
        <f t="shared" si="0"/>
        <v>40.946189491128607</v>
      </c>
      <c r="G37" s="86">
        <f>NPV(disc_rate_ene,$C$17:$C37)</f>
        <v>1.2027274411403497</v>
      </c>
      <c r="H37" s="90">
        <f t="shared" si="1"/>
        <v>0.10930929082828154</v>
      </c>
      <c r="I37" s="89">
        <f>NPV(disc_rate_cap,$B$18:$B38)</f>
        <v>523.20197218895157</v>
      </c>
      <c r="J37" s="74">
        <f t="shared" si="2"/>
        <v>47.550953427742414</v>
      </c>
      <c r="K37" s="53">
        <f>NPV(disc_rate_ene,$C$18:$C38)</f>
        <v>1.1871110016889996</v>
      </c>
      <c r="L37" s="90">
        <f t="shared" si="15"/>
        <v>0.10788999842395143</v>
      </c>
      <c r="M37" s="89">
        <f>NPV(disc_rate_cap,$B$19:$B39)</f>
        <v>601.62920154593473</v>
      </c>
      <c r="N37" s="74">
        <f t="shared" si="3"/>
        <v>54.678773521803464</v>
      </c>
      <c r="O37" s="86">
        <f>NPV(disc_rate_ene,$C$19:$C39)</f>
        <v>1.1976097734249096</v>
      </c>
      <c r="P37" s="90">
        <f t="shared" si="4"/>
        <v>0.10884417411976181</v>
      </c>
      <c r="Q37" s="89">
        <f>NPV(disc_rate_cap,$B$20:$B40)</f>
        <v>686.21903098310611</v>
      </c>
      <c r="R37" s="74">
        <f t="shared" si="5"/>
        <v>62.366678487450208</v>
      </c>
      <c r="S37" s="86">
        <f>NPV(disc_rate_ene,$C$20:$C40)</f>
        <v>1.2430338842484829</v>
      </c>
      <c r="T37" s="397">
        <f t="shared" si="6"/>
        <v>0.11297252204863446</v>
      </c>
      <c r="U37" s="89">
        <f>NPV(disc_rate_cap,$B$21:$B41)</f>
        <v>777.40691031653728</v>
      </c>
      <c r="V37" s="74">
        <f t="shared" si="7"/>
        <v>70.654243966642696</v>
      </c>
      <c r="W37" s="86">
        <f>NPV(disc_rate_ene,$C$21:$C41)</f>
        <v>1.2985464828684274</v>
      </c>
      <c r="X37" s="90">
        <f t="shared" si="8"/>
        <v>0.11801775721964532</v>
      </c>
      <c r="Y37" s="89">
        <f>NPV(disc_rate_cap,$B$22:$B42)</f>
        <v>875.65824640838593</v>
      </c>
      <c r="Z37" s="74">
        <f t="shared" si="9"/>
        <v>79.583768232712771</v>
      </c>
      <c r="AA37" s="86">
        <f>NPV(disc_rate_ene,$C$22:$C42)</f>
        <v>1.3579357832368601</v>
      </c>
      <c r="AB37" s="90">
        <f t="shared" si="10"/>
        <v>0.12341532451877177</v>
      </c>
      <c r="AC37" s="89">
        <f>NPV(disc_rate_cap,$B$23:$B43)</f>
        <v>981.47044905767564</v>
      </c>
      <c r="AD37" s="74">
        <f t="shared" si="11"/>
        <v>89.200458130139481</v>
      </c>
      <c r="AE37" s="86">
        <f>NPV(disc_rate_ene,$C$23:$C43)</f>
        <v>1.3802815940801696</v>
      </c>
      <c r="AF37" s="90">
        <f t="shared" si="12"/>
        <v>0.12544621252607385</v>
      </c>
      <c r="AG37" s="89">
        <f>NPV(disc_rate_cap,$B$24:$B44)</f>
        <v>1095.3751163279051</v>
      </c>
      <c r="AH37" s="74">
        <f t="shared" si="13"/>
        <v>99.552627686971945</v>
      </c>
      <c r="AI37" s="86">
        <f>NPV(disc_rate_ene,$C$24:$C44)</f>
        <v>1.4094372455109301</v>
      </c>
      <c r="AJ37" s="90">
        <f t="shared" si="14"/>
        <v>0.12809600953952799</v>
      </c>
    </row>
    <row r="38" spans="1:36" s="9" customFormat="1">
      <c r="A38" s="51">
        <f t="shared" si="16"/>
        <v>2031</v>
      </c>
      <c r="B38" s="132">
        <f>'Avoided Energy &amp; Capacity Costs'!$D36</f>
        <v>167.49664114285716</v>
      </c>
      <c r="C38" s="133">
        <f>'Avoided Energy &amp; Capacity Costs'!$B36/1000</f>
        <v>0.14441941869406716</v>
      </c>
      <c r="D38" s="91">
        <v>22</v>
      </c>
      <c r="E38" s="89">
        <f>NPV(disc_rate_cap,$B$17:$B38)</f>
        <v>489.84362156067004</v>
      </c>
      <c r="F38" s="74">
        <f t="shared" si="0"/>
        <v>43.589356263007382</v>
      </c>
      <c r="G38" s="86">
        <f>NPV(disc_rate_ene,$C$17:$C38)</f>
        <v>1.2366246126770801</v>
      </c>
      <c r="H38" s="90">
        <f t="shared" si="1"/>
        <v>0.11004261040257</v>
      </c>
      <c r="I38" s="89">
        <f>NPV(disc_rate_cap,$B$18:$B39)</f>
        <v>563.27048173947651</v>
      </c>
      <c r="J38" s="74">
        <f t="shared" si="2"/>
        <v>50.12333859273668</v>
      </c>
      <c r="K38" s="53">
        <f>NPV(disc_rate_ene,$C$18:$C39)</f>
        <v>1.2227768810801289</v>
      </c>
      <c r="L38" s="90">
        <f t="shared" si="15"/>
        <v>0.10881035243401493</v>
      </c>
      <c r="M38" s="89">
        <f>NPV(disc_rate_cap,$B$19:$B40)</f>
        <v>642.46702647982966</v>
      </c>
      <c r="N38" s="74">
        <f t="shared" si="3"/>
        <v>57.17074362475033</v>
      </c>
      <c r="O38" s="86">
        <f>NPV(disc_rate_ene,$C$19:$C40)</f>
        <v>1.2339604377003488</v>
      </c>
      <c r="P38" s="90">
        <f t="shared" si="4"/>
        <v>0.10980553541149891</v>
      </c>
      <c r="Q38" s="89">
        <f>NPV(disc_rate_cap,$B$20:$B41)</f>
        <v>727.8409421557318</v>
      </c>
      <c r="R38" s="74">
        <f t="shared" si="5"/>
        <v>64.767849848382014</v>
      </c>
      <c r="S38" s="86">
        <f>NPV(disc_rate_ene,$C$20:$C41)</f>
        <v>1.2800824812780105</v>
      </c>
      <c r="T38" s="397">
        <f t="shared" si="6"/>
        <v>0.11390976398689466</v>
      </c>
      <c r="U38" s="89">
        <f>NPV(disc_rate_cap,$B$21:$B42)</f>
        <v>819.8279621836773</v>
      </c>
      <c r="V38" s="74">
        <f t="shared" si="7"/>
        <v>72.953431554632516</v>
      </c>
      <c r="W38" s="86">
        <f>NPV(disc_rate_ene,$C$21:$C42)</f>
        <v>1.3363064129609219</v>
      </c>
      <c r="X38" s="90">
        <f t="shared" si="8"/>
        <v>0.1189129218943614</v>
      </c>
      <c r="Y38" s="89">
        <f>NPV(disc_rate_cap,$B$22:$B43)</f>
        <v>918.89378247137518</v>
      </c>
      <c r="Z38" s="74">
        <f t="shared" si="9"/>
        <v>81.76892928480494</v>
      </c>
      <c r="AA38" s="86">
        <f>NPV(disc_rate_ene,$C$22:$C43)</f>
        <v>1.3964207039871306</v>
      </c>
      <c r="AB38" s="90">
        <f t="shared" si="10"/>
        <v>0.12426226836475324</v>
      </c>
      <c r="AC38" s="89">
        <f>NPV(disc_rate_cap,$B$23:$B44)</f>
        <v>1025.5361074130742</v>
      </c>
      <c r="AD38" s="74">
        <f t="shared" si="11"/>
        <v>91.258631895995052</v>
      </c>
      <c r="AE38" s="86">
        <f>NPV(disc_rate_ene,$C$23:$C44)</f>
        <v>1.4195054253088453</v>
      </c>
      <c r="AF38" s="90">
        <f t="shared" si="12"/>
        <v>0.12631649158545885</v>
      </c>
      <c r="AG38" s="89">
        <f>NPV(disc_rate_cap,$B$24:$B45)</f>
        <v>1140.2868353237272</v>
      </c>
      <c r="AH38" s="74">
        <f t="shared" si="13"/>
        <v>101.46987103472367</v>
      </c>
      <c r="AI38" s="86">
        <f>NPV(disc_rate_ene,$C$24:$C45)</f>
        <v>1.4494141742991962</v>
      </c>
      <c r="AJ38" s="90">
        <f t="shared" si="14"/>
        <v>0.12897795956776634</v>
      </c>
    </row>
    <row r="39" spans="1:36" s="9" customFormat="1">
      <c r="A39" s="51">
        <f t="shared" si="16"/>
        <v>2032</v>
      </c>
      <c r="B39" s="132">
        <f>'Avoided Energy &amp; Capacity Costs'!$D37</f>
        <v>170.71249885714286</v>
      </c>
      <c r="C39" s="133">
        <f>'Avoided Energy &amp; Capacity Costs'!$B37/1000</f>
        <v>0.15195502560732083</v>
      </c>
      <c r="D39" s="91">
        <v>23</v>
      </c>
      <c r="E39" s="89">
        <f>NPV(disc_rate_cap,$B$17:$B39)</f>
        <v>527.35744007066421</v>
      </c>
      <c r="F39" s="74">
        <f t="shared" si="0"/>
        <v>46.027521210159449</v>
      </c>
      <c r="G39" s="86">
        <f>NPV(disc_rate_ene,$C$17:$C39)</f>
        <v>1.2700165042519604</v>
      </c>
      <c r="H39" s="90">
        <f t="shared" si="1"/>
        <v>0.11084647175713838</v>
      </c>
      <c r="I39" s="89">
        <f>NPV(disc_rate_cap,$B$18:$B40)</f>
        <v>601.50456556486256</v>
      </c>
      <c r="J39" s="74">
        <f t="shared" si="2"/>
        <v>52.499049119008646</v>
      </c>
      <c r="K39" s="53">
        <f>NPV(disc_rate_ene,$C$18:$C40)</f>
        <v>1.2568098969732469</v>
      </c>
      <c r="L39" s="90">
        <f t="shared" si="15"/>
        <v>0.10969380498798501</v>
      </c>
      <c r="M39" s="89">
        <f>NPV(disc_rate_cap,$B$19:$B41)</f>
        <v>681.4352047146632</v>
      </c>
      <c r="N39" s="74">
        <f t="shared" si="3"/>
        <v>59.475359509767657</v>
      </c>
      <c r="O39" s="86">
        <f>NPV(disc_rate_ene,$C$19:$C41)</f>
        <v>1.2686468874986143</v>
      </c>
      <c r="P39" s="90">
        <f t="shared" si="4"/>
        <v>0.11072693222024291</v>
      </c>
      <c r="Q39" s="89">
        <f>NPV(disc_rate_cap,$B$20:$B42)</f>
        <v>767.55730941267416</v>
      </c>
      <c r="R39" s="74">
        <f t="shared" si="5"/>
        <v>66.992058240935862</v>
      </c>
      <c r="S39" s="86">
        <f>NPV(disc_rate_ene,$C$20:$C42)</f>
        <v>1.3154349109124028</v>
      </c>
      <c r="T39" s="397">
        <f t="shared" si="6"/>
        <v>0.11481056995136321</v>
      </c>
      <c r="U39" s="89">
        <f>NPV(disc_rate_cap,$B$21:$B43)</f>
        <v>860.30688369195298</v>
      </c>
      <c r="V39" s="74">
        <f t="shared" si="7"/>
        <v>75.087199549268846</v>
      </c>
      <c r="W39" s="86">
        <f>NPV(disc_rate_ene,$C$21:$C43)</f>
        <v>1.3723376092442945</v>
      </c>
      <c r="X39" s="90">
        <f t="shared" si="8"/>
        <v>0.11977701197982023</v>
      </c>
      <c r="Y39" s="89">
        <f>NPV(disc_rate_cap,$B$22:$B44)</f>
        <v>960.14989927260967</v>
      </c>
      <c r="Z39" s="74">
        <f t="shared" si="9"/>
        <v>83.801453237828099</v>
      </c>
      <c r="AA39" s="86">
        <f>NPV(disc_rate_ene,$C$22:$C44)</f>
        <v>1.433143699239144</v>
      </c>
      <c r="AB39" s="90">
        <f t="shared" si="10"/>
        <v>0.12508414028461817</v>
      </c>
      <c r="AC39" s="89">
        <f>NPV(disc_rate_cap,$B$23:$B45)</f>
        <v>1067.5843416568923</v>
      </c>
      <c r="AD39" s="74">
        <f t="shared" si="11"/>
        <v>93.17828325824388</v>
      </c>
      <c r="AE39" s="86">
        <f>NPV(disc_rate_ene,$C$23:$C45)</f>
        <v>1.4569335020696974</v>
      </c>
      <c r="AF39" s="90">
        <f t="shared" si="12"/>
        <v>0.12716050362220963</v>
      </c>
      <c r="AG39" s="89">
        <f>NPV(disc_rate_cap,$B$24:$B46)</f>
        <v>1183.1423956650269</v>
      </c>
      <c r="AH39" s="74">
        <f t="shared" si="13"/>
        <v>103.26413846330453</v>
      </c>
      <c r="AI39" s="86">
        <f>NPV(disc_rate_ene,$C$24:$C46)</f>
        <v>1.4875608701338567</v>
      </c>
      <c r="AJ39" s="90">
        <f t="shared" si="14"/>
        <v>0.12983364659141766</v>
      </c>
    </row>
    <row r="40" spans="1:36" s="9" customFormat="1">
      <c r="A40" s="51">
        <f t="shared" si="16"/>
        <v>2033</v>
      </c>
      <c r="B40" s="132">
        <f t="shared" ref="B40:B54" si="17">$B39*$C$11</f>
        <v>173.99017883520003</v>
      </c>
      <c r="C40" s="133">
        <f t="shared" ref="C40:C54" si="18">$C39*$C$11</f>
        <v>0.1548725620989814</v>
      </c>
      <c r="D40" s="91">
        <v>24</v>
      </c>
      <c r="E40" s="89">
        <f>NPV(disc_rate_cap,$B$17:$B40)</f>
        <v>563.15379230864392</v>
      </c>
      <c r="F40" s="74">
        <f t="shared" si="0"/>
        <v>48.284775533177879</v>
      </c>
      <c r="G40" s="86">
        <f>NPV(disc_rate_ene,$C$17:$C40)</f>
        <v>1.3018796405623412</v>
      </c>
      <c r="H40" s="90">
        <f t="shared" si="1"/>
        <v>0.11162308959701571</v>
      </c>
      <c r="I40" s="89">
        <f>NPV(disc_rate_cap,$B$18:$B41)</f>
        <v>637.98820776581147</v>
      </c>
      <c r="J40" s="74">
        <f t="shared" si="2"/>
        <v>54.701074245636093</v>
      </c>
      <c r="K40" s="53">
        <f>NPV(disc_rate_ene,$C$18:$C41)</f>
        <v>1.2892848055007871</v>
      </c>
      <c r="L40" s="90">
        <f t="shared" si="15"/>
        <v>0.11054320912363476</v>
      </c>
      <c r="M40" s="89">
        <f>NPV(disc_rate_cap,$B$19:$B42)</f>
        <v>718.6193328458703</v>
      </c>
      <c r="N40" s="74">
        <f t="shared" si="3"/>
        <v>61.614382525986755</v>
      </c>
      <c r="O40" s="86">
        <f>NPV(disc_rate_ene,$C$19:$C42)</f>
        <v>1.3017453142698834</v>
      </c>
      <c r="P40" s="90">
        <f t="shared" si="4"/>
        <v>0.11161157246800386</v>
      </c>
      <c r="Q40" s="89">
        <f>NPV(disc_rate_cap,$B$20:$B43)</f>
        <v>805.45537280400049</v>
      </c>
      <c r="R40" s="74">
        <f t="shared" si="5"/>
        <v>69.059699870614395</v>
      </c>
      <c r="S40" s="86">
        <f>NPV(disc_rate_ene,$C$20:$C43)</f>
        <v>1.3491688274776803</v>
      </c>
      <c r="T40" s="397">
        <f t="shared" si="6"/>
        <v>0.11567766191196556</v>
      </c>
      <c r="U40" s="89">
        <f>NPV(disc_rate_cap,$B$21:$B44)</f>
        <v>898.93258990039271</v>
      </c>
      <c r="V40" s="74">
        <f t="shared" si="7"/>
        <v>77.074431381987665</v>
      </c>
      <c r="W40" s="86">
        <f>NPV(disc_rate_ene,$C$21:$C44)</f>
        <v>1.4067192170076253</v>
      </c>
      <c r="X40" s="90">
        <f t="shared" si="8"/>
        <v>0.12061202918117747</v>
      </c>
      <c r="Y40" s="89">
        <f>NPV(disc_rate_cap,$B$22:$B45)</f>
        <v>999.51721904025158</v>
      </c>
      <c r="Z40" s="74">
        <f t="shared" si="9"/>
        <v>85.698552015528989</v>
      </c>
      <c r="AA40" s="86">
        <f>NPV(disc_rate_ene,$C$22:$C45)</f>
        <v>1.4681854338715306</v>
      </c>
      <c r="AB40" s="90">
        <f t="shared" si="10"/>
        <v>0.1258821392730948</v>
      </c>
      <c r="AC40" s="89">
        <f>NPV(disc_rate_cap,$B$23:$B46)</f>
        <v>1107.7075139640729</v>
      </c>
      <c r="AD40" s="74">
        <f t="shared" si="11"/>
        <v>94.974782019857855</v>
      </c>
      <c r="AE40" s="86">
        <f>NPV(disc_rate_ene,$C$23:$C46)</f>
        <v>1.4926480380070259</v>
      </c>
      <c r="AF40" s="90">
        <f t="shared" si="12"/>
        <v>0.12797956162161025</v>
      </c>
      <c r="AG40" s="89">
        <f>NPV(disc_rate_cap,$B$24:$B47)</f>
        <v>1224.0359328805052</v>
      </c>
      <c r="AH40" s="74">
        <f t="shared" si="13"/>
        <v>104.94877433283335</v>
      </c>
      <c r="AI40" s="86">
        <f>NPV(disc_rate_ene,$C$24:$C47)</f>
        <v>1.5239611251611818</v>
      </c>
      <c r="AJ40" s="90">
        <f t="shared" si="14"/>
        <v>0.13066434401167648</v>
      </c>
    </row>
    <row r="41" spans="1:36" s="9" customFormat="1">
      <c r="A41" s="51">
        <f t="shared" si="16"/>
        <v>2034</v>
      </c>
      <c r="B41" s="132">
        <f t="shared" si="17"/>
        <v>177.3307902688359</v>
      </c>
      <c r="C41" s="133">
        <f t="shared" si="18"/>
        <v>0.15784611529128187</v>
      </c>
      <c r="D41" s="91">
        <v>25</v>
      </c>
      <c r="E41" s="89">
        <f>NPV(disc_rate_cap,$B$17:$B41)</f>
        <v>597.31130771071196</v>
      </c>
      <c r="F41" s="74">
        <f t="shared" si="0"/>
        <v>50.381377664020526</v>
      </c>
      <c r="G41" s="86">
        <f>NPV(disc_rate_ene,$C$17:$C41)</f>
        <v>1.3322840114335519</v>
      </c>
      <c r="H41" s="90">
        <f t="shared" si="1"/>
        <v>0.11237407206139564</v>
      </c>
      <c r="I41" s="89">
        <f>NPV(disc_rate_cap,$B$18:$B42)</f>
        <v>672.80154746359926</v>
      </c>
      <c r="J41" s="74">
        <f t="shared" si="2"/>
        <v>56.748747961285467</v>
      </c>
      <c r="K41" s="53">
        <f>NPV(disc_rate_ene,$C$18:$C42)</f>
        <v>1.3202729402927249</v>
      </c>
      <c r="L41" s="90">
        <f t="shared" si="15"/>
        <v>0.11136097503228583</v>
      </c>
      <c r="M41" s="89">
        <f>NPV(disc_rate_cap,$B$19:$B43)</f>
        <v>754.10108866585563</v>
      </c>
      <c r="N41" s="74">
        <f t="shared" si="3"/>
        <v>63.606115026578379</v>
      </c>
      <c r="O41" s="86">
        <f>NPV(disc_rate_ene,$C$19:$C43)</f>
        <v>1.3333284212498264</v>
      </c>
      <c r="P41" s="90">
        <f t="shared" si="4"/>
        <v>0.11246216482761399</v>
      </c>
      <c r="Q41" s="89">
        <f>NPV(disc_rate_cap,$B$20:$B44)</f>
        <v>841.61837833572952</v>
      </c>
      <c r="R41" s="74">
        <f t="shared" si="5"/>
        <v>70.987930113737036</v>
      </c>
      <c r="S41" s="86">
        <f>NPV(disc_rate_ene,$C$20:$C44)</f>
        <v>1.3813583301116383</v>
      </c>
      <c r="T41" s="397">
        <f t="shared" si="6"/>
        <v>0.11651334039770279</v>
      </c>
      <c r="U41" s="89">
        <f>NPV(disc_rate_cap,$B$21:$B45)</f>
        <v>935.789925138331</v>
      </c>
      <c r="V41" s="74">
        <f t="shared" si="7"/>
        <v>78.931011390485082</v>
      </c>
      <c r="W41" s="86">
        <f>NPV(disc_rate_ene,$C$21:$C45)</f>
        <v>1.4395267580921551</v>
      </c>
      <c r="X41" s="90">
        <f t="shared" si="8"/>
        <v>0.12141966897440561</v>
      </c>
      <c r="Y41" s="89">
        <f>NPV(disc_rate_cap,$B$22:$B46)</f>
        <v>1037.0822151147581</v>
      </c>
      <c r="Z41" s="74">
        <f t="shared" si="9"/>
        <v>87.474705524310934</v>
      </c>
      <c r="AA41" s="86">
        <f>NPV(disc_rate_ene,$C$22:$C46)</f>
        <v>1.5016228797448838</v>
      </c>
      <c r="AB41" s="90">
        <f t="shared" si="10"/>
        <v>0.12665728647146507</v>
      </c>
      <c r="AC41" s="89">
        <f>NPV(disc_rate_cap,$B$23:$B47)</f>
        <v>1145.9937579632099</v>
      </c>
      <c r="AD41" s="74">
        <f t="shared" si="11"/>
        <v>96.661060280006438</v>
      </c>
      <c r="AE41" s="86">
        <f>NPV(disc_rate_ene,$C$23:$C47)</f>
        <v>1.5267274828411475</v>
      </c>
      <c r="AF41" s="90">
        <f t="shared" si="12"/>
        <v>0.12877478278096197</v>
      </c>
      <c r="AG41" s="89">
        <f>NPV(disc_rate_cap,$B$24:$B48)</f>
        <v>1263.0572727644258</v>
      </c>
      <c r="AH41" s="74">
        <f t="shared" si="13"/>
        <v>106.53500887890711</v>
      </c>
      <c r="AI41" s="86">
        <f>NPV(disc_rate_ene,$C$24:$C48)</f>
        <v>1.5586948953361184</v>
      </c>
      <c r="AJ41" s="90">
        <f t="shared" si="14"/>
        <v>0.13147113602433749</v>
      </c>
    </row>
    <row r="42" spans="1:36" s="9" customFormat="1">
      <c r="A42" s="51">
        <f t="shared" si="16"/>
        <v>2035</v>
      </c>
      <c r="B42" s="132">
        <f t="shared" si="17"/>
        <v>180.73554144199755</v>
      </c>
      <c r="C42" s="133">
        <f t="shared" si="18"/>
        <v>0.1608767607048745</v>
      </c>
      <c r="D42" s="91">
        <v>26</v>
      </c>
      <c r="E42" s="89">
        <f>NPV(disc_rate_cap,$B$17:$B42)</f>
        <v>629.90501588203279</v>
      </c>
      <c r="F42" s="74">
        <f t="shared" si="0"/>
        <v>52.334493844236611</v>
      </c>
      <c r="G42" s="86">
        <f>NPV(disc_rate_ene,$C$17:$C42)</f>
        <v>1.3612964024006318</v>
      </c>
      <c r="H42" s="90">
        <f t="shared" si="1"/>
        <v>0.11310079519188888</v>
      </c>
      <c r="I42" s="89">
        <f>NPV(disc_rate_cap,$B$18:$B43)</f>
        <v>706.02105483180947</v>
      </c>
      <c r="J42" s="74">
        <f t="shared" si="2"/>
        <v>58.658454237355279</v>
      </c>
      <c r="K42" s="53">
        <f>NPV(disc_rate_ene,$C$18:$C43)</f>
        <v>1.3498423691663728</v>
      </c>
      <c r="L42" s="90">
        <f t="shared" si="15"/>
        <v>0.11214915801378096</v>
      </c>
      <c r="M42" s="89">
        <f>NPV(disc_rate_cap,$B$19:$B44)</f>
        <v>787.95841057553548</v>
      </c>
      <c r="N42" s="74">
        <f t="shared" si="3"/>
        <v>65.466067975401984</v>
      </c>
      <c r="O42" s="86">
        <f>NPV(disc_rate_ene,$C$19:$C44)</f>
        <v>1.3634655831578482</v>
      </c>
      <c r="P42" s="90">
        <f t="shared" si="4"/>
        <v>0.11328101756529961</v>
      </c>
      <c r="Q42" s="89">
        <f>NPV(disc_rate_cap,$B$20:$B45)</f>
        <v>876.12576082607518</v>
      </c>
      <c r="R42" s="74">
        <f t="shared" si="5"/>
        <v>72.791289290695758</v>
      </c>
      <c r="S42" s="86">
        <f>NPV(disc_rate_ene,$C$20:$C45)</f>
        <v>1.412074125528294</v>
      </c>
      <c r="T42" s="397">
        <f t="shared" si="6"/>
        <v>0.11731956845364472</v>
      </c>
      <c r="U42" s="89">
        <f>NPV(disc_rate_cap,$B$21:$B46)</f>
        <v>970.95984937249125</v>
      </c>
      <c r="V42" s="74">
        <f t="shared" si="7"/>
        <v>80.670404233615457</v>
      </c>
      <c r="W42" s="86">
        <f>NPV(disc_rate_ene,$C$21:$C46)</f>
        <v>1.470832296780811</v>
      </c>
      <c r="X42" s="90">
        <f t="shared" si="8"/>
        <v>0.12220138249573093</v>
      </c>
      <c r="Y42" s="89">
        <f>NPV(disc_rate_cap,$B$22:$B47)</f>
        <v>1072.9274018942144</v>
      </c>
      <c r="Z42" s="74">
        <f t="shared" si="9"/>
        <v>89.142189844478708</v>
      </c>
      <c r="AA42" s="86">
        <f>NPV(disc_rate_ene,$C$22:$C47)</f>
        <v>1.5335294847763616</v>
      </c>
      <c r="AB42" s="90">
        <f t="shared" si="10"/>
        <v>0.12741046246250895</v>
      </c>
      <c r="AC42" s="89">
        <f>NPV(disc_rate_cap,$B$23:$B48)</f>
        <v>1182.5271723288315</v>
      </c>
      <c r="AD42" s="74">
        <f t="shared" si="11"/>
        <v>98.248084172226712</v>
      </c>
      <c r="AE42" s="86">
        <f>NPV(disc_rate_ene,$C$23:$C48)</f>
        <v>1.5592466946892296</v>
      </c>
      <c r="AF42" s="90">
        <f t="shared" si="12"/>
        <v>0.12954712930900378</v>
      </c>
      <c r="AG42" s="89">
        <f>NPV(disc_rate_cap,$B$24:$B49)</f>
        <v>1300.2921286858675</v>
      </c>
      <c r="AH42" s="74">
        <f t="shared" si="13"/>
        <v>108.03236787872179</v>
      </c>
      <c r="AI42" s="86">
        <f>NPV(disc_rate_ene,$C$24:$C49)</f>
        <v>1.5918384760516839</v>
      </c>
      <c r="AJ42" s="90">
        <f t="shared" si="14"/>
        <v>0.13225495721651404</v>
      </c>
    </row>
    <row r="43" spans="1:36" s="9" customFormat="1">
      <c r="A43" s="51">
        <f t="shared" si="16"/>
        <v>2036</v>
      </c>
      <c r="B43" s="132">
        <f t="shared" si="17"/>
        <v>184.20566383768391</v>
      </c>
      <c r="C43" s="133">
        <f t="shared" si="18"/>
        <v>0.1639655945104081</v>
      </c>
      <c r="D43" s="91">
        <v>27</v>
      </c>
      <c r="E43" s="89">
        <f>NPV(disc_rate_cap,$B$17:$B43)</f>
        <v>661.0065114051207</v>
      </c>
      <c r="F43" s="74">
        <f t="shared" si="0"/>
        <v>54.158772720186903</v>
      </c>
      <c r="G43" s="86">
        <f>NPV(disc_rate_ene,$C$17:$C43)</f>
        <v>1.3889805414078857</v>
      </c>
      <c r="H43" s="90">
        <f t="shared" si="1"/>
        <v>0.11380444845386298</v>
      </c>
      <c r="I43" s="89">
        <f>NPV(disc_rate_cap,$B$18:$B44)</f>
        <v>737.71969906894071</v>
      </c>
      <c r="J43" s="74">
        <f t="shared" si="2"/>
        <v>60.444175395712939</v>
      </c>
      <c r="K43" s="53">
        <f>NPV(disc_rate_ene,$C$18:$C44)</f>
        <v>1.3780580436425658</v>
      </c>
      <c r="L43" s="90">
        <f t="shared" si="15"/>
        <v>0.11290952674915657</v>
      </c>
      <c r="M43" s="89">
        <f>NPV(disc_rate_cap,$B$19:$B45)</f>
        <v>820.26566878201959</v>
      </c>
      <c r="N43" s="74">
        <f t="shared" si="3"/>
        <v>67.207480046305278</v>
      </c>
      <c r="O43" s="86">
        <f>NPV(disc_rate_ene,$C$19:$C45)</f>
        <v>1.3922229985839842</v>
      </c>
      <c r="P43" s="90">
        <f t="shared" si="4"/>
        <v>0.11407011527896273</v>
      </c>
      <c r="Q43" s="89">
        <f>NPV(disc_rate_cap,$B$20:$B46)</f>
        <v>909.05331839012388</v>
      </c>
      <c r="R43" s="74">
        <f t="shared" si="5"/>
        <v>74.482189224680951</v>
      </c>
      <c r="S43" s="86">
        <f>NPV(disc_rate_ene,$C$20:$C46)</f>
        <v>1.4413836833306117</v>
      </c>
      <c r="T43" s="397">
        <f t="shared" si="6"/>
        <v>0.11809803679867914</v>
      </c>
      <c r="U43" s="89">
        <f>NPV(disc_rate_cap,$B$21:$B47)</f>
        <v>1004.5196160417696</v>
      </c>
      <c r="V43" s="74">
        <f t="shared" si="7"/>
        <v>82.304105390018648</v>
      </c>
      <c r="W43" s="86">
        <f>NPV(disc_rate_ene,$C$21:$C47)</f>
        <v>1.5007045980929332</v>
      </c>
      <c r="X43" s="90">
        <f t="shared" si="8"/>
        <v>0.12295842453273748</v>
      </c>
      <c r="Y43" s="89">
        <f>NPV(disc_rate_cap,$B$22:$B48)</f>
        <v>1107.1315160835431</v>
      </c>
      <c r="Z43" s="89">
        <f t="shared" si="9"/>
        <v>90.711487884535345</v>
      </c>
      <c r="AA43" s="86">
        <f>NPV(disc_rate_ene,$C$22:$C48)</f>
        <v>1.5639753342736766</v>
      </c>
      <c r="AB43" s="90">
        <f t="shared" si="10"/>
        <v>0.12814243612948806</v>
      </c>
      <c r="AC43" s="89">
        <f>NPV(disc_rate_cap,$B$23:$B49)</f>
        <v>1217.3880055105951</v>
      </c>
      <c r="AD43" s="89">
        <f t="shared" si="11"/>
        <v>99.745220606943633</v>
      </c>
      <c r="AE43" s="86">
        <f>NPV(disc_rate_ene,$C$23:$C49)</f>
        <v>1.5902771044968931</v>
      </c>
      <c r="AF43" s="90">
        <f t="shared" si="12"/>
        <v>0.13029744000778529</v>
      </c>
      <c r="AG43" s="89">
        <f>NPV(disc_rate_cap,$B$24:$B50)</f>
        <v>1335.8222898647211</v>
      </c>
      <c r="AH43" s="74">
        <f t="shared" si="13"/>
        <v>109.44899111137956</v>
      </c>
      <c r="AI43" s="86">
        <f>NPV(disc_rate_ene,$C$24:$C50)</f>
        <v>1.6234646697276545</v>
      </c>
      <c r="AJ43" s="90">
        <f t="shared" si="14"/>
        <v>0.13301662321015406</v>
      </c>
    </row>
    <row r="44" spans="1:36" s="9" customFormat="1">
      <c r="A44" s="51">
        <f t="shared" si="16"/>
        <v>2037</v>
      </c>
      <c r="B44" s="132">
        <f t="shared" si="17"/>
        <v>187.74241258336747</v>
      </c>
      <c r="C44" s="133">
        <f t="shared" si="18"/>
        <v>0.16711373392500795</v>
      </c>
      <c r="D44" s="91">
        <v>28</v>
      </c>
      <c r="E44" s="89">
        <f>NPV(disc_rate_cap,$B$17:$B44)</f>
        <v>690.68411110283751</v>
      </c>
      <c r="F44" s="74">
        <f t="shared" si="0"/>
        <v>55.866796669172359</v>
      </c>
      <c r="G44" s="86">
        <f>NPV(disc_rate_ene,$C$17:$C44)</f>
        <v>1.4153972387922065</v>
      </c>
      <c r="H44" s="90">
        <f t="shared" si="1"/>
        <v>0.11448607036790331</v>
      </c>
      <c r="I44" s="89">
        <f>NPV(disc_rate_cap,$B$18:$B45)</f>
        <v>767.96710868085358</v>
      </c>
      <c r="J44" s="74">
        <f t="shared" si="2"/>
        <v>62.117922824052613</v>
      </c>
      <c r="K44" s="53">
        <f>NPV(disc_rate_ene,$C$18:$C45)</f>
        <v>1.4049819416166658</v>
      </c>
      <c r="L44" s="90">
        <f t="shared" si="15"/>
        <v>0.11364361680599083</v>
      </c>
      <c r="M44" s="89">
        <f>NPV(disc_rate_cap,$B$19:$B46)</f>
        <v>851.09382865848113</v>
      </c>
      <c r="N44" s="74">
        <f t="shared" si="3"/>
        <v>68.841725338273022</v>
      </c>
      <c r="O44" s="86">
        <f>NPV(disc_rate_ene,$C$19:$C46)</f>
        <v>1.4196638353991866</v>
      </c>
      <c r="P44" s="90">
        <f t="shared" si="4"/>
        <v>0.11483117905258254</v>
      </c>
      <c r="Q44" s="89">
        <f>NPV(disc_rate_cap,$B$20:$B47)</f>
        <v>940.47337893621352</v>
      </c>
      <c r="R44" s="74">
        <f t="shared" si="5"/>
        <v>76.071295385534</v>
      </c>
      <c r="S44" s="86">
        <f>NPV(disc_rate_ene,$C$20:$C47)</f>
        <v>1.4693513842126662</v>
      </c>
      <c r="T44" s="397">
        <f t="shared" si="6"/>
        <v>0.11885021487797584</v>
      </c>
      <c r="U44" s="89">
        <f>NPV(disc_rate_cap,$B$21:$B48)</f>
        <v>1036.5429417503442</v>
      </c>
      <c r="V44" s="74">
        <f t="shared" si="7"/>
        <v>83.841994965206524</v>
      </c>
      <c r="W44" s="86">
        <f>NPV(disc_rate_ene,$C$21:$C48)</f>
        <v>1.5292092788319229</v>
      </c>
      <c r="X44" s="90">
        <f t="shared" si="8"/>
        <v>0.1236918910856407</v>
      </c>
      <c r="Y44" s="89">
        <f>NPV(disc_rate_cap,$B$22:$B49)</f>
        <v>1139.7696896457223</v>
      </c>
      <c r="Z44" s="89">
        <f t="shared" si="9"/>
        <v>92.191611878042039</v>
      </c>
      <c r="AA44" s="86">
        <f>NPV(disc_rate_ene,$C$22:$C49)</f>
        <v>1.5930273048828552</v>
      </c>
      <c r="AB44" s="90">
        <f t="shared" si="10"/>
        <v>0.12885388718183372</v>
      </c>
      <c r="AC44" s="89">
        <f>NPV(disc_rate_cap,$B$23:$B50)</f>
        <v>1250.6528320051682</v>
      </c>
      <c r="AD44" s="89">
        <f t="shared" si="11"/>
        <v>101.16052526211105</v>
      </c>
      <c r="AE44" s="86">
        <f>NPV(disc_rate_ene,$C$23:$C50)</f>
        <v>1.6198868729417679</v>
      </c>
      <c r="AF44" s="90">
        <f t="shared" si="12"/>
        <v>0.13102645493494602</v>
      </c>
      <c r="AG44" s="89">
        <f>NPV(disc_rate_cap,$B$24:$B51)</f>
        <v>1369.7258010279897</v>
      </c>
      <c r="AH44" s="74">
        <f t="shared" si="13"/>
        <v>110.79188240824665</v>
      </c>
      <c r="AI44" s="86">
        <f>NPV(disc_rate_ene,$C$24:$C51)</f>
        <v>1.6536429457266708</v>
      </c>
      <c r="AJ44" s="90">
        <f t="shared" si="14"/>
        <v>0.1337568545840892</v>
      </c>
    </row>
    <row r="45" spans="1:36" s="9" customFormat="1" ht="13.5" thickBot="1">
      <c r="A45" s="51">
        <f t="shared" si="16"/>
        <v>2038</v>
      </c>
      <c r="B45" s="132">
        <f t="shared" si="17"/>
        <v>191.34706690496813</v>
      </c>
      <c r="C45" s="133">
        <f t="shared" si="18"/>
        <v>0.17032231761636812</v>
      </c>
      <c r="D45" s="91">
        <v>29</v>
      </c>
      <c r="E45" s="89">
        <f>NPV(disc_rate_cap,$B$17:$B45)</f>
        <v>719.00300410153875</v>
      </c>
      <c r="F45" s="74">
        <f t="shared" si="0"/>
        <v>57.469439609050625</v>
      </c>
      <c r="G45" s="86">
        <f>NPV(disc_rate_ene,$C$17:$C45)</f>
        <v>1.4406045208576497</v>
      </c>
      <c r="H45" s="90">
        <f t="shared" si="1"/>
        <v>0.11514657663413902</v>
      </c>
      <c r="I45" s="89">
        <f>NPV(disc_rate_cap,$B$18:$B46)</f>
        <v>796.82972442512983</v>
      </c>
      <c r="J45" s="74">
        <f t="shared" si="2"/>
        <v>63.690078435443411</v>
      </c>
      <c r="K45" s="53">
        <f>NPV(disc_rate_ene,$C$18:$C46)</f>
        <v>1.4306732034977654</v>
      </c>
      <c r="L45" s="90">
        <f t="shared" si="15"/>
        <v>0.11435277293652389</v>
      </c>
      <c r="M45" s="89">
        <f>NPV(disc_rate_cap,$B$19:$B47)</f>
        <v>880.51060662504767</v>
      </c>
      <c r="N45" s="74">
        <f t="shared" si="3"/>
        <v>70.37863658970268</v>
      </c>
      <c r="O45" s="86">
        <f>NPV(disc_rate_ene,$C$19:$C47)</f>
        <v>1.4458483695084035</v>
      </c>
      <c r="P45" s="90">
        <f t="shared" si="4"/>
        <v>0.11556571402526866</v>
      </c>
      <c r="Q45" s="89">
        <f>NPV(disc_rate_cap,$B$20:$B48)</f>
        <v>970.45495903973801</v>
      </c>
      <c r="R45" s="76">
        <f t="shared" si="5"/>
        <v>77.567829819472877</v>
      </c>
      <c r="S45" s="86">
        <f>NPV(disc_rate_ene,$C$20:$C48)</f>
        <v>1.49603866137678</v>
      </c>
      <c r="T45" s="395">
        <f t="shared" si="6"/>
        <v>0.11957739121025431</v>
      </c>
      <c r="U45" s="89">
        <f>NPV(disc_rate_cap,$B$21:$B49)</f>
        <v>1067.1001681918565</v>
      </c>
      <c r="V45" s="74">
        <f t="shared" si="7"/>
        <v>85.292618143288237</v>
      </c>
      <c r="W45" s="86">
        <f>NPV(disc_rate_ene,$C$21:$C49)</f>
        <v>1.5564089517175876</v>
      </c>
      <c r="X45" s="90">
        <f t="shared" si="8"/>
        <v>0.12440274901144639</v>
      </c>
      <c r="Y45" s="89">
        <f>NPV(disc_rate_cap,$B$22:$B50)</f>
        <v>1170.9136148349116</v>
      </c>
      <c r="Z45" s="89">
        <f t="shared" si="9"/>
        <v>93.590358998927158</v>
      </c>
      <c r="AA45" s="86">
        <f>NPV(disc_rate_ene,$C$22:$C50)</f>
        <v>1.6207492114879245</v>
      </c>
      <c r="AB45" s="90">
        <f t="shared" si="10"/>
        <v>0.12954542387123019</v>
      </c>
      <c r="AC45" s="89">
        <f>NPV(disc_rate_cap,$B$23:$B51)</f>
        <v>1282.3947205579898</v>
      </c>
      <c r="AD45" s="89">
        <f t="shared" si="11"/>
        <v>102.50097082718852</v>
      </c>
      <c r="AE45" s="86">
        <f>NPV(disc_rate_ene,$C$23:$C51)</f>
        <v>1.6481410401536547</v>
      </c>
      <c r="AF45" s="90">
        <f t="shared" si="12"/>
        <v>0.13173483481152765</v>
      </c>
      <c r="AG45" s="89">
        <f>NPV(disc_rate_cap,$B$24:$B52)</f>
        <v>1402.0771338410257</v>
      </c>
      <c r="AH45" s="74">
        <f t="shared" si="13"/>
        <v>112.067107801859</v>
      </c>
      <c r="AI45" s="86">
        <f>NPV(disc_rate_ene,$C$24:$C52)</f>
        <v>1.6824395929490259</v>
      </c>
      <c r="AJ45" s="90">
        <f t="shared" si="14"/>
        <v>0.13447629569181216</v>
      </c>
    </row>
    <row r="46" spans="1:36" s="9" customFormat="1" ht="14.25" thickTop="1" thickBot="1">
      <c r="A46" s="51">
        <f t="shared" si="16"/>
        <v>2039</v>
      </c>
      <c r="B46" s="132">
        <f t="shared" si="17"/>
        <v>195.02093058954353</v>
      </c>
      <c r="C46" s="133">
        <f t="shared" si="18"/>
        <v>0.17359250611460242</v>
      </c>
      <c r="D46" s="91">
        <v>30</v>
      </c>
      <c r="E46" s="89">
        <f>NPV(disc_rate_cap,$B$17:$B46)</f>
        <v>746.02539502399577</v>
      </c>
      <c r="F46" s="74">
        <f t="shared" si="0"/>
        <v>58.976153110740363</v>
      </c>
      <c r="G46" s="86">
        <f>NPV(disc_rate_ene,$C$17:$C46)</f>
        <v>1.4646577573346644</v>
      </c>
      <c r="H46" s="90">
        <f t="shared" si="1"/>
        <v>0.11578678249769819</v>
      </c>
      <c r="I46" s="89">
        <f>NPV(disc_rate_cap,$B$18:$B47)</f>
        <v>824.37094525329803</v>
      </c>
      <c r="J46" s="74">
        <f t="shared" si="2"/>
        <v>65.169667697090219</v>
      </c>
      <c r="K46" s="53">
        <f>NPV(disc_rate_ene,$C$18:$C47)</f>
        <v>1.4551882621151389</v>
      </c>
      <c r="L46" s="90">
        <f t="shared" si="15"/>
        <v>0.1150381827802178</v>
      </c>
      <c r="M46" s="89">
        <f>NPV(disc_rate_cap,$B$19:$B48)</f>
        <v>908.58061889311659</v>
      </c>
      <c r="N46" s="76">
        <f t="shared" si="3"/>
        <v>71.826763607113065</v>
      </c>
      <c r="O46" s="86">
        <f>NPV(disc_rate_ene,$C$19:$C48)</f>
        <v>1.4708341172512307</v>
      </c>
      <c r="P46" s="139">
        <f t="shared" si="4"/>
        <v>0.11627504730816719</v>
      </c>
      <c r="Q46" s="79"/>
      <c r="R46" s="79"/>
      <c r="S46" s="52"/>
      <c r="T46" s="390"/>
      <c r="U46" s="89">
        <f>NPV(disc_rate_cap,$B$21:$B50)</f>
        <v>1096.2584166603419</v>
      </c>
      <c r="V46" s="74">
        <f t="shared" si="7"/>
        <v>86.663409397502591</v>
      </c>
      <c r="W46" s="86">
        <f>NPV(disc_rate_ene,$C$21:$C50)</f>
        <v>1.5823633629197873</v>
      </c>
      <c r="X46" s="90">
        <f t="shared" si="8"/>
        <v>0.12509185959464789</v>
      </c>
      <c r="Y46" s="89">
        <f>NPV(disc_rate_cap,$B$22:$B51)</f>
        <v>1200.6317016739918</v>
      </c>
      <c r="Z46" s="89">
        <f t="shared" si="9"/>
        <v>94.914515698566177</v>
      </c>
      <c r="AA46" s="86">
        <f>NPV(disc_rate_ene,$C$22:$C51)</f>
        <v>1.6472019473852064</v>
      </c>
      <c r="AB46" s="90">
        <f t="shared" si="10"/>
        <v>0.13021759701648622</v>
      </c>
      <c r="AC46" s="89">
        <f>NPV(disc_rate_cap,$B$23:$B52)</f>
        <v>1312.6833946643806</v>
      </c>
      <c r="AD46" s="89">
        <f t="shared" si="11"/>
        <v>103.77262943865715</v>
      </c>
      <c r="AE46" s="86">
        <f>NPV(disc_rate_ene,$C$23:$C52)</f>
        <v>1.6751016685801645</v>
      </c>
      <c r="AF46" s="90">
        <f t="shared" si="12"/>
        <v>0.13242317639745071</v>
      </c>
      <c r="AG46" s="89">
        <f>NPV(disc_rate_cap,$B$24:$B53)</f>
        <v>1432.9473504902589</v>
      </c>
      <c r="AH46" s="74">
        <f t="shared" si="13"/>
        <v>113.27995388069198</v>
      </c>
      <c r="AI46" s="86">
        <f>NPV(disc_rate_ene,$C$24:$C53)</f>
        <v>1.7099178654413245</v>
      </c>
      <c r="AJ46" s="90">
        <f t="shared" si="14"/>
        <v>0.13517552956198531</v>
      </c>
    </row>
    <row r="47" spans="1:36" s="9" customFormat="1" ht="14.25" thickTop="1" thickBot="1">
      <c r="A47" s="51">
        <f t="shared" si="16"/>
        <v>2040</v>
      </c>
      <c r="B47" s="132">
        <f t="shared" si="17"/>
        <v>198.76533245686278</v>
      </c>
      <c r="C47" s="133">
        <f t="shared" si="18"/>
        <v>0.1769254822320028</v>
      </c>
      <c r="D47" s="91">
        <v>31</v>
      </c>
      <c r="E47" s="89">
        <f>NPV(disc_rate_cap,$B$17:$B47)</f>
        <v>771.81064062662495</v>
      </c>
      <c r="F47" s="74">
        <f t="shared" si="0"/>
        <v>60.395197002983728</v>
      </c>
      <c r="G47" s="86">
        <f>NPV(disc_rate_ene,$C$17:$C47)</f>
        <v>1.4876097830039592</v>
      </c>
      <c r="H47" s="90">
        <f t="shared" si="1"/>
        <v>0.11640742065326566</v>
      </c>
      <c r="I47" s="89">
        <f>NPV(disc_rate_cap,$B$18:$B48)</f>
        <v>850.65126757149767</v>
      </c>
      <c r="J47" s="76">
        <f t="shared" si="2"/>
        <v>66.564579679942469</v>
      </c>
      <c r="K47" s="53">
        <f>NPV(disc_rate_ene,$C$18:$C48)</f>
        <v>1.478580966677284</v>
      </c>
      <c r="L47" s="139">
        <f t="shared" si="15"/>
        <v>0.11570090390932626</v>
      </c>
      <c r="M47" s="73"/>
      <c r="N47" s="79"/>
      <c r="O47" s="52"/>
      <c r="P47" s="81"/>
      <c r="Q47" s="79"/>
      <c r="R47" s="79"/>
      <c r="S47" s="52"/>
      <c r="T47" s="390"/>
      <c r="U47" s="89">
        <f>NPV(disc_rate_cap,$B$21:$B51)</f>
        <v>1124.0817354873059</v>
      </c>
      <c r="V47" s="74">
        <f t="shared" si="7"/>
        <v>87.960873158075671</v>
      </c>
      <c r="W47" s="86">
        <f>NPV(disc_rate_ene,$C$21:$C51)</f>
        <v>1.6071295232954841</v>
      </c>
      <c r="X47" s="90">
        <f t="shared" si="8"/>
        <v>0.12575999741327448</v>
      </c>
      <c r="Y47" s="89">
        <f>NPV(disc_rate_cap,$B$22:$B52)</f>
        <v>1228.9892282224337</v>
      </c>
      <c r="Z47" s="89">
        <f t="shared" si="9"/>
        <v>96.170022342237047</v>
      </c>
      <c r="AA47" s="86">
        <f>NPV(disc_rate_ene,$C$22:$C52)</f>
        <v>1.6724436180401165</v>
      </c>
      <c r="AB47" s="90">
        <f t="shared" si="10"/>
        <v>0.13087091116793717</v>
      </c>
      <c r="AC47" s="89">
        <f>NPV(disc_rate_cap,$B$23:$B53)</f>
        <v>1341.5853857225525</v>
      </c>
      <c r="AD47" s="89">
        <f t="shared" si="11"/>
        <v>104.98081964930395</v>
      </c>
      <c r="AE47" s="86">
        <f>NPV(disc_rate_ene,$C$23:$C53)</f>
        <v>1.700827979311649</v>
      </c>
      <c r="AF47" s="90">
        <f t="shared" si="12"/>
        <v>0.13309202474238369</v>
      </c>
      <c r="AG47" s="135">
        <f>NPV(disc_rate_cap,$B$24:$B54)</f>
        <v>1462.4042597767477</v>
      </c>
      <c r="AH47" s="136">
        <f t="shared" si="13"/>
        <v>114.43505533366501</v>
      </c>
      <c r="AI47" s="137">
        <f>NPV(disc_rate_ene,$C$24:$C54)</f>
        <v>1.7361381213388538</v>
      </c>
      <c r="AJ47" s="138">
        <f t="shared" si="14"/>
        <v>0.13585508976336469</v>
      </c>
    </row>
    <row r="48" spans="1:36" s="9" customFormat="1" ht="14.25" thickTop="1" thickBot="1">
      <c r="A48" s="394">
        <f t="shared" si="16"/>
        <v>2041</v>
      </c>
      <c r="B48" s="132">
        <f t="shared" si="17"/>
        <v>202.58162684003457</v>
      </c>
      <c r="C48" s="133">
        <f t="shared" si="18"/>
        <v>0.18032245149085727</v>
      </c>
      <c r="D48" s="91">
        <v>32</v>
      </c>
      <c r="E48" s="135">
        <f>NPV(disc_rate_cap,$B$17:$B48)</f>
        <v>796.41538018116069</v>
      </c>
      <c r="F48" s="136">
        <f t="shared" si="0"/>
        <v>61.733826612117682</v>
      </c>
      <c r="G48" s="137">
        <f>NPV(disc_rate_ene,$C$17:$C48)</f>
        <v>1.5095110137521524</v>
      </c>
      <c r="H48" s="138">
        <f t="shared" si="1"/>
        <v>0.11700915566304095</v>
      </c>
      <c r="I48" s="75"/>
      <c r="J48" s="140"/>
      <c r="K48" s="54"/>
      <c r="L48" s="55"/>
      <c r="M48" s="75"/>
      <c r="N48" s="80"/>
      <c r="O48" s="54"/>
      <c r="P48" s="55"/>
      <c r="Q48" s="80"/>
      <c r="R48" s="80"/>
      <c r="S48" s="54"/>
      <c r="T48" s="396"/>
      <c r="U48" s="89">
        <f>NPV(disc_rate_cap,$B$21:$B52)</f>
        <v>1150.6312407288017</v>
      </c>
      <c r="V48" s="74">
        <f t="shared" si="7"/>
        <v>89.190730462136273</v>
      </c>
      <c r="W48" s="86">
        <f>NPV(disc_rate_ene,$C$21:$C52)</f>
        <v>1.6307618336174674</v>
      </c>
      <c r="X48" s="90">
        <f t="shared" si="8"/>
        <v>0.12640786552778488</v>
      </c>
      <c r="Y48" s="89">
        <f>NPV(disc_rate_cap,$B$22:$B53)</f>
        <v>1256.0484839645665</v>
      </c>
      <c r="Z48" s="89">
        <f t="shared" si="9"/>
        <v>97.36210682903139</v>
      </c>
      <c r="AA48" s="86">
        <f>NPV(disc_rate_ene,$C$22:$C53)</f>
        <v>1.696529668720282</v>
      </c>
      <c r="AB48" s="90">
        <f t="shared" si="10"/>
        <v>0.1315058335353439</v>
      </c>
      <c r="AC48" s="135">
        <f>NPV(disc_rate_cap,$B$23:$B54)</f>
        <v>1369.1641791749339</v>
      </c>
      <c r="AD48" s="135">
        <f t="shared" si="11"/>
        <v>106.13022568886248</v>
      </c>
      <c r="AE48" s="137">
        <f>NPV(disc_rate_ene,$C$23:$C54)</f>
        <v>1.7253764821648736</v>
      </c>
      <c r="AF48" s="55">
        <f t="shared" si="12"/>
        <v>0.13374188299372508</v>
      </c>
      <c r="AG48" s="404"/>
      <c r="AH48" s="405"/>
      <c r="AI48" s="402"/>
      <c r="AJ48" s="403"/>
    </row>
    <row r="49" spans="1:36" s="9" customFormat="1" ht="13.5" thickBot="1">
      <c r="A49" s="406">
        <f t="shared" si="16"/>
        <v>2042</v>
      </c>
      <c r="B49" s="130">
        <f t="shared" si="17"/>
        <v>206.47119407536326</v>
      </c>
      <c r="C49" s="407">
        <f t="shared" si="18"/>
        <v>0.18378464255948174</v>
      </c>
      <c r="D49" s="408">
        <v>33</v>
      </c>
      <c r="E49" s="391"/>
      <c r="F49" s="391"/>
      <c r="G49" s="391"/>
      <c r="H49" s="392"/>
      <c r="I49" s="391"/>
      <c r="J49" s="391"/>
      <c r="K49" s="391"/>
      <c r="L49" s="392"/>
      <c r="M49" s="391"/>
      <c r="N49" s="391"/>
      <c r="O49" s="391"/>
      <c r="P49" s="392"/>
      <c r="Q49" s="391"/>
      <c r="R49" s="391"/>
      <c r="S49" s="52"/>
      <c r="T49" s="390"/>
      <c r="U49" s="89">
        <f>NPV(disc_rate_cap,$B$21:$B53)</f>
        <v>1175.96525041154</v>
      </c>
      <c r="V49" s="74">
        <f t="shared" si="7"/>
        <v>90.35803880217388</v>
      </c>
      <c r="W49" s="86">
        <f>NPV(disc_rate_ene,$C$21:$C53)</f>
        <v>1.6533122040698269</v>
      </c>
      <c r="X49" s="90">
        <f t="shared" si="8"/>
        <v>0.12703610777203547</v>
      </c>
      <c r="Y49" s="135">
        <f>NPV(disc_rate_cap,$B$22:$B54)</f>
        <v>1281.8689066332131</v>
      </c>
      <c r="Z49" s="135">
        <f t="shared" si="9"/>
        <v>98.495393774883468</v>
      </c>
      <c r="AA49" s="137">
        <f>NPV(disc_rate_ene,$C$22:$C54)</f>
        <v>1.7195130062853268</v>
      </c>
      <c r="AB49" s="138">
        <f t="shared" si="10"/>
        <v>0.13212280115283884</v>
      </c>
      <c r="AC49" s="391"/>
      <c r="AD49" s="391"/>
      <c r="AE49" s="52"/>
      <c r="AF49" s="390"/>
      <c r="AG49" s="391"/>
      <c r="AH49" s="391"/>
      <c r="AI49" s="52"/>
      <c r="AJ49" s="390"/>
    </row>
    <row r="50" spans="1:36" s="9" customFormat="1" ht="13.5" thickBot="1">
      <c r="A50" s="409">
        <f t="shared" si="16"/>
        <v>2043</v>
      </c>
      <c r="B50" s="132">
        <f t="shared" si="17"/>
        <v>210.43544100161026</v>
      </c>
      <c r="C50" s="410">
        <f t="shared" si="18"/>
        <v>0.1873133076966238</v>
      </c>
      <c r="D50" s="411">
        <v>34</v>
      </c>
      <c r="E50" s="391"/>
      <c r="F50" s="391"/>
      <c r="G50" s="391"/>
      <c r="H50" s="392"/>
      <c r="I50" s="391"/>
      <c r="J50" s="391"/>
      <c r="K50" s="391"/>
      <c r="L50" s="392"/>
      <c r="M50" s="391"/>
      <c r="N50" s="391"/>
      <c r="O50" s="391"/>
      <c r="P50" s="392"/>
      <c r="Q50" s="391"/>
      <c r="R50" s="391"/>
      <c r="S50" s="52"/>
      <c r="T50" s="390"/>
      <c r="U50" s="75">
        <f>NPV(disc_rate_cap,$B$21:$B54)</f>
        <v>1200.1394126329112</v>
      </c>
      <c r="V50" s="136">
        <f t="shared" si="7"/>
        <v>91.4672906922398</v>
      </c>
      <c r="W50" s="137">
        <f>NPV(disc_rate_ene,$C$21:$C54)</f>
        <v>1.6748301682726592</v>
      </c>
      <c r="X50" s="138">
        <f t="shared" si="8"/>
        <v>0.12764531874296955</v>
      </c>
      <c r="Y50" s="404"/>
      <c r="Z50" s="405"/>
      <c r="AA50" s="402"/>
      <c r="AB50" s="390"/>
      <c r="AC50" s="391"/>
      <c r="AD50" s="391"/>
      <c r="AE50" s="52"/>
      <c r="AF50" s="390"/>
      <c r="AG50" s="391"/>
      <c r="AH50" s="391"/>
      <c r="AI50" s="52"/>
      <c r="AJ50" s="390"/>
    </row>
    <row r="51" spans="1:36" s="9" customFormat="1">
      <c r="A51" s="409">
        <f t="shared" si="16"/>
        <v>2044</v>
      </c>
      <c r="B51" s="132">
        <f t="shared" si="17"/>
        <v>214.47580146884118</v>
      </c>
      <c r="C51" s="410">
        <f t="shared" si="18"/>
        <v>0.190909723204399</v>
      </c>
      <c r="D51" s="411">
        <v>35</v>
      </c>
      <c r="E51" s="391"/>
      <c r="F51" s="391"/>
      <c r="G51" s="391"/>
      <c r="H51" s="392"/>
      <c r="I51" s="391"/>
      <c r="J51" s="391"/>
      <c r="K51" s="391"/>
      <c r="L51" s="392"/>
      <c r="M51" s="391"/>
      <c r="N51" s="391"/>
      <c r="O51" s="391"/>
      <c r="P51" s="392"/>
      <c r="Q51" s="391"/>
      <c r="R51" s="391"/>
      <c r="S51" s="52"/>
      <c r="T51" s="390"/>
      <c r="U51" s="391"/>
      <c r="V51" s="391"/>
      <c r="W51" s="52"/>
      <c r="X51" s="390"/>
      <c r="Y51" s="391"/>
      <c r="Z51" s="391"/>
      <c r="AA51" s="52"/>
      <c r="AB51" s="390"/>
      <c r="AC51" s="391"/>
      <c r="AD51" s="391"/>
      <c r="AE51" s="52"/>
      <c r="AF51" s="390"/>
      <c r="AG51" s="391"/>
      <c r="AH51" s="391"/>
      <c r="AI51" s="52"/>
      <c r="AJ51" s="390"/>
    </row>
    <row r="52" spans="1:36" s="9" customFormat="1">
      <c r="A52" s="409">
        <f t="shared" si="16"/>
        <v>2045</v>
      </c>
      <c r="B52" s="132">
        <f t="shared" si="17"/>
        <v>218.59373685704296</v>
      </c>
      <c r="C52" s="410">
        <f t="shared" si="18"/>
        <v>0.19457518988992348</v>
      </c>
      <c r="D52" s="411">
        <v>36</v>
      </c>
      <c r="E52" s="391"/>
      <c r="F52" s="391"/>
      <c r="G52" s="391"/>
      <c r="H52" s="392"/>
      <c r="I52" s="391"/>
      <c r="J52" s="391"/>
      <c r="K52" s="391"/>
      <c r="L52" s="392"/>
      <c r="M52" s="391"/>
      <c r="N52" s="391"/>
      <c r="O52" s="391"/>
      <c r="P52" s="392"/>
      <c r="Q52" s="391"/>
      <c r="R52" s="391"/>
      <c r="S52" s="52"/>
      <c r="T52" s="390"/>
      <c r="U52" s="391"/>
      <c r="V52" s="391"/>
      <c r="W52" s="52"/>
      <c r="X52" s="390"/>
      <c r="Y52" s="391"/>
      <c r="Z52" s="391"/>
      <c r="AA52" s="52"/>
      <c r="AB52" s="390"/>
      <c r="AC52" s="391"/>
      <c r="AD52" s="391"/>
      <c r="AE52" s="52"/>
      <c r="AF52" s="390"/>
      <c r="AG52" s="391"/>
      <c r="AH52" s="391"/>
      <c r="AI52" s="52"/>
      <c r="AJ52" s="390"/>
    </row>
    <row r="53" spans="1:36" s="9" customFormat="1">
      <c r="A53" s="409">
        <f t="shared" si="16"/>
        <v>2046</v>
      </c>
      <c r="B53" s="132">
        <f t="shared" si="17"/>
        <v>222.7907366046982</v>
      </c>
      <c r="C53" s="410">
        <f t="shared" si="18"/>
        <v>0.19831103353581003</v>
      </c>
      <c r="D53" s="411">
        <v>37</v>
      </c>
      <c r="E53" s="391"/>
      <c r="F53" s="391"/>
      <c r="G53" s="391"/>
      <c r="H53" s="392"/>
      <c r="I53" s="391"/>
      <c r="J53" s="391"/>
      <c r="K53" s="391"/>
      <c r="L53" s="392"/>
      <c r="M53" s="391"/>
      <c r="N53" s="391"/>
      <c r="O53" s="391"/>
      <c r="P53" s="392"/>
      <c r="Q53" s="391"/>
      <c r="R53" s="391"/>
      <c r="S53" s="52"/>
      <c r="T53" s="390"/>
      <c r="U53" s="391"/>
      <c r="V53" s="391"/>
      <c r="W53" s="52"/>
      <c r="X53" s="390"/>
      <c r="Y53" s="391"/>
      <c r="Z53" s="391"/>
      <c r="AA53" s="52"/>
      <c r="AB53" s="390"/>
      <c r="AC53" s="391"/>
      <c r="AD53" s="391"/>
      <c r="AE53" s="52"/>
      <c r="AF53" s="390"/>
      <c r="AG53" s="391"/>
      <c r="AH53" s="391"/>
      <c r="AI53" s="52"/>
      <c r="AJ53" s="390"/>
    </row>
    <row r="54" spans="1:36" s="9" customFormat="1" ht="13.5" thickBot="1">
      <c r="A54" s="412">
        <f t="shared" si="16"/>
        <v>2047</v>
      </c>
      <c r="B54" s="134">
        <f t="shared" si="17"/>
        <v>227.06831874750841</v>
      </c>
      <c r="C54" s="413">
        <f t="shared" si="18"/>
        <v>0.20211860537969761</v>
      </c>
      <c r="D54" s="414">
        <v>38</v>
      </c>
      <c r="E54" s="391"/>
      <c r="F54" s="391"/>
      <c r="G54" s="391"/>
      <c r="H54" s="392"/>
      <c r="I54" s="391"/>
      <c r="J54" s="391"/>
      <c r="K54" s="391"/>
      <c r="L54" s="392"/>
      <c r="M54" s="391"/>
      <c r="N54" s="391"/>
      <c r="O54" s="391"/>
      <c r="P54" s="392"/>
      <c r="Q54" s="391"/>
      <c r="R54" s="391"/>
      <c r="S54" s="52"/>
      <c r="T54" s="390"/>
      <c r="U54" s="391"/>
      <c r="V54" s="391"/>
      <c r="W54" s="52"/>
      <c r="X54" s="390"/>
      <c r="Y54" s="391"/>
      <c r="Z54" s="391"/>
      <c r="AA54" s="52"/>
      <c r="AB54" s="390"/>
      <c r="AC54" s="391"/>
      <c r="AD54" s="391"/>
      <c r="AE54" s="52"/>
      <c r="AF54" s="390"/>
      <c r="AG54" s="391"/>
      <c r="AH54" s="391"/>
      <c r="AI54" s="52"/>
      <c r="AJ54" s="390"/>
    </row>
    <row r="55" spans="1:36" s="9" customFormat="1">
      <c r="A55" s="387"/>
      <c r="B55" s="393"/>
      <c r="C55" s="388"/>
      <c r="D55" s="389"/>
      <c r="E55" s="391"/>
      <c r="F55" s="391"/>
      <c r="G55" s="391"/>
      <c r="H55" s="392"/>
      <c r="I55" s="391"/>
      <c r="J55" s="391"/>
      <c r="K55" s="391"/>
      <c r="L55" s="392"/>
      <c r="M55" s="391"/>
      <c r="N55" s="391"/>
      <c r="O55" s="391"/>
      <c r="P55" s="392"/>
      <c r="Q55" s="391"/>
      <c r="R55" s="391"/>
      <c r="S55" s="52"/>
      <c r="T55" s="390"/>
      <c r="U55" s="391"/>
      <c r="V55" s="391"/>
      <c r="W55" s="52"/>
      <c r="X55" s="390"/>
      <c r="Y55" s="391"/>
      <c r="Z55" s="391"/>
      <c r="AA55" s="52"/>
      <c r="AB55" s="390"/>
      <c r="AC55" s="391"/>
      <c r="AD55" s="391"/>
      <c r="AE55" s="52"/>
      <c r="AF55" s="390"/>
      <c r="AG55" s="391"/>
      <c r="AH55" s="391"/>
      <c r="AI55" s="52"/>
      <c r="AJ55" s="390"/>
    </row>
    <row r="56" spans="1:36">
      <c r="A56" s="106" t="s">
        <v>162</v>
      </c>
    </row>
    <row r="57" spans="1:36">
      <c r="A57" s="65" t="s">
        <v>189</v>
      </c>
    </row>
    <row r="58" spans="1:36">
      <c r="A58" s="65" t="s">
        <v>190</v>
      </c>
    </row>
    <row r="59" spans="1:36">
      <c r="A59" s="6" t="s">
        <v>348</v>
      </c>
      <c r="C59" s="10"/>
    </row>
    <row r="60" spans="1:36">
      <c r="A60" s="6" t="s">
        <v>349</v>
      </c>
    </row>
  </sheetData>
  <mergeCells count="37">
    <mergeCell ref="AG10:AJ10"/>
    <mergeCell ref="AG11:AJ11"/>
    <mergeCell ref="AG12:AH12"/>
    <mergeCell ref="AI12:AJ12"/>
    <mergeCell ref="E9:AJ9"/>
    <mergeCell ref="U10:X10"/>
    <mergeCell ref="M10:P10"/>
    <mergeCell ref="AC10:AF10"/>
    <mergeCell ref="AC11:AF11"/>
    <mergeCell ref="AC12:AD12"/>
    <mergeCell ref="AE12:AF12"/>
    <mergeCell ref="B12:B16"/>
    <mergeCell ref="A9:C10"/>
    <mergeCell ref="A11:B11"/>
    <mergeCell ref="S12:T12"/>
    <mergeCell ref="E12:F12"/>
    <mergeCell ref="G12:H12"/>
    <mergeCell ref="I12:J12"/>
    <mergeCell ref="M11:P11"/>
    <mergeCell ref="Q10:T10"/>
    <mergeCell ref="Q11:T11"/>
    <mergeCell ref="Q12:R12"/>
    <mergeCell ref="C12:C16"/>
    <mergeCell ref="E10:H10"/>
    <mergeCell ref="I10:L10"/>
    <mergeCell ref="E11:H11"/>
    <mergeCell ref="I11:L11"/>
    <mergeCell ref="O12:P12"/>
    <mergeCell ref="M12:N12"/>
    <mergeCell ref="K12:L12"/>
    <mergeCell ref="Y10:AB10"/>
    <mergeCell ref="Y11:AB11"/>
    <mergeCell ref="Y12:Z12"/>
    <mergeCell ref="AA12:AB12"/>
    <mergeCell ref="U11:X11"/>
    <mergeCell ref="U12:V12"/>
    <mergeCell ref="W12:X12"/>
  </mergeCells>
  <phoneticPr fontId="28" type="noConversion"/>
  <pageMargins left="0.7" right="0.7" top="0.75" bottom="0.75" header="0.3" footer="0.3"/>
  <pageSetup scale="2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L41"/>
  <sheetViews>
    <sheetView workbookViewId="0">
      <selection activeCell="F38" sqref="F38"/>
    </sheetView>
  </sheetViews>
  <sheetFormatPr defaultRowHeight="12.75"/>
  <cols>
    <col min="1" max="1" width="17.7109375" style="5" customWidth="1"/>
    <col min="2" max="5" width="20.7109375" style="5" customWidth="1"/>
    <col min="6" max="6" width="15.7109375" style="5" customWidth="1"/>
    <col min="7" max="16384" width="9.140625" style="5"/>
  </cols>
  <sheetData>
    <row r="1" spans="1:12" s="101" customFormat="1" ht="15.75">
      <c r="A1" s="95" t="str">
        <f>'Data Summary'!$A$1</f>
        <v>Custom Project Development Agreement Generator Version 2016.2.1</v>
      </c>
      <c r="B1" s="1"/>
      <c r="G1" s="102"/>
    </row>
    <row r="2" spans="1:12" s="101" customFormat="1" ht="15">
      <c r="A2" s="7" t="s">
        <v>182</v>
      </c>
      <c r="B2" s="93" t="e">
        <f>customer_name</f>
        <v>#REF!</v>
      </c>
      <c r="G2" s="102"/>
    </row>
    <row r="3" spans="1:12" s="101" customFormat="1" ht="15">
      <c r="A3" s="96" t="s">
        <v>183</v>
      </c>
      <c r="B3" s="97" t="e">
        <f>project_name</f>
        <v>#REF!</v>
      </c>
      <c r="G3" s="102"/>
    </row>
    <row r="4" spans="1:12" s="101" customFormat="1" ht="15">
      <c r="A4" s="97" t="s">
        <v>164</v>
      </c>
      <c r="B4" s="97" t="e">
        <f>prep_by</f>
        <v>#REF!</v>
      </c>
      <c r="G4" s="102"/>
    </row>
    <row r="5" spans="1:12" s="101" customFormat="1" ht="15.75" thickBot="1">
      <c r="A5" s="99" t="s">
        <v>163</v>
      </c>
      <c r="B5" s="100" t="e">
        <f>prep_date</f>
        <v>#REF!</v>
      </c>
      <c r="C5" s="103"/>
      <c r="D5" s="103"/>
      <c r="E5" s="103"/>
      <c r="F5" s="105"/>
      <c r="G5" s="102"/>
      <c r="H5" s="105"/>
      <c r="I5" s="105"/>
      <c r="J5" s="105"/>
      <c r="K5" s="105"/>
      <c r="L5" s="105"/>
    </row>
    <row r="6" spans="1:12" s="101" customFormat="1" ht="15">
      <c r="A6" s="97"/>
      <c r="B6" s="98"/>
      <c r="C6" s="105"/>
      <c r="D6" s="105"/>
      <c r="E6" s="105"/>
      <c r="F6" s="105"/>
      <c r="G6" s="102"/>
    </row>
    <row r="7" spans="1:12" s="101" customFormat="1" ht="15.75">
      <c r="A7" s="94" t="s">
        <v>186</v>
      </c>
      <c r="B7" s="98"/>
      <c r="C7" s="105"/>
      <c r="D7" s="105"/>
      <c r="E7" s="105"/>
      <c r="F7" s="105"/>
      <c r="G7" s="102"/>
    </row>
    <row r="8" spans="1:12">
      <c r="A8" s="147" t="s">
        <v>197</v>
      </c>
      <c r="B8" s="8"/>
      <c r="C8" s="8"/>
    </row>
    <row r="9" spans="1:12" ht="13.5" thickBot="1"/>
    <row r="10" spans="1:12" ht="18" customHeight="1" thickBot="1">
      <c r="A10" s="537" t="s">
        <v>83</v>
      </c>
      <c r="B10" s="535" t="s">
        <v>193</v>
      </c>
      <c r="C10" s="536"/>
      <c r="D10" s="535" t="s">
        <v>194</v>
      </c>
      <c r="E10" s="536"/>
    </row>
    <row r="11" spans="1:12">
      <c r="A11" s="538"/>
      <c r="B11" s="143" t="s">
        <v>192</v>
      </c>
      <c r="C11" s="110" t="s">
        <v>192</v>
      </c>
      <c r="D11" s="143" t="s">
        <v>108</v>
      </c>
      <c r="E11" s="141" t="s">
        <v>108</v>
      </c>
    </row>
    <row r="12" spans="1:12">
      <c r="A12" s="538"/>
      <c r="B12" s="113" t="s">
        <v>196</v>
      </c>
      <c r="C12" s="111" t="s">
        <v>114</v>
      </c>
      <c r="D12" s="113" t="s">
        <v>191</v>
      </c>
      <c r="E12" s="111" t="s">
        <v>114</v>
      </c>
    </row>
    <row r="13" spans="1:12" ht="13.5" thickBot="1">
      <c r="A13" s="539"/>
      <c r="B13" s="144" t="s">
        <v>113</v>
      </c>
      <c r="C13" s="146" t="s">
        <v>113</v>
      </c>
      <c r="D13" s="144" t="s">
        <v>109</v>
      </c>
      <c r="E13" s="146" t="s">
        <v>109</v>
      </c>
    </row>
    <row r="14" spans="1:12">
      <c r="A14" s="145"/>
      <c r="B14" s="113"/>
      <c r="C14" s="114"/>
      <c r="D14" s="121"/>
      <c r="E14" s="114"/>
    </row>
    <row r="15" spans="1:12">
      <c r="A15" s="107">
        <v>2010</v>
      </c>
      <c r="B15" s="115">
        <v>133.72774711138985</v>
      </c>
      <c r="C15" s="142">
        <v>166.07</v>
      </c>
      <c r="D15" s="125">
        <v>0</v>
      </c>
      <c r="E15" s="142">
        <f>PMT(disc_rate_cap,23,D40)*-1</f>
        <v>46.027521210159449</v>
      </c>
      <c r="F15" s="6"/>
    </row>
    <row r="16" spans="1:12">
      <c r="A16" s="107">
        <v>2011</v>
      </c>
      <c r="B16" s="115">
        <v>108.43821325677696</v>
      </c>
      <c r="C16" s="126">
        <f>+C15</f>
        <v>166.07</v>
      </c>
      <c r="D16" s="125">
        <v>0</v>
      </c>
      <c r="E16" s="127">
        <f t="shared" ref="E16:E37" si="0">+E15</f>
        <v>46.027521210159449</v>
      </c>
    </row>
    <row r="17" spans="1:5">
      <c r="A17" s="107">
        <v>2012</v>
      </c>
      <c r="B17" s="115">
        <v>74.959259259259255</v>
      </c>
      <c r="C17" s="126">
        <f t="shared" ref="C17:C35" si="1">+C16</f>
        <v>166.07</v>
      </c>
      <c r="D17" s="128">
        <v>0</v>
      </c>
      <c r="E17" s="127">
        <f t="shared" si="0"/>
        <v>46.027521210159449</v>
      </c>
    </row>
    <row r="18" spans="1:5">
      <c r="A18" s="107">
        <v>2013</v>
      </c>
      <c r="B18" s="115">
        <v>68.70961538461539</v>
      </c>
      <c r="C18" s="126">
        <f t="shared" si="1"/>
        <v>166.07</v>
      </c>
      <c r="D18" s="122">
        <v>0</v>
      </c>
      <c r="E18" s="127">
        <f t="shared" si="0"/>
        <v>46.027521210159449</v>
      </c>
    </row>
    <row r="19" spans="1:5">
      <c r="A19" s="107">
        <v>2014</v>
      </c>
      <c r="B19" s="115">
        <v>69.373096446700501</v>
      </c>
      <c r="C19" s="126">
        <f t="shared" si="1"/>
        <v>166.07</v>
      </c>
      <c r="D19" s="122">
        <v>0</v>
      </c>
      <c r="E19" s="127">
        <f t="shared" si="0"/>
        <v>46.027521210159449</v>
      </c>
    </row>
    <row r="20" spans="1:5">
      <c r="A20" s="107">
        <v>2015</v>
      </c>
      <c r="B20" s="115">
        <v>111.23535984848466</v>
      </c>
      <c r="C20" s="126">
        <f t="shared" si="1"/>
        <v>166.07</v>
      </c>
      <c r="D20" s="122">
        <v>0</v>
      </c>
      <c r="E20" s="127">
        <f t="shared" si="0"/>
        <v>46.027521210159449</v>
      </c>
    </row>
    <row r="21" spans="1:5">
      <c r="A21" s="107">
        <v>2016</v>
      </c>
      <c r="B21" s="115">
        <v>106.73649926144755</v>
      </c>
      <c r="C21" s="126">
        <f t="shared" si="1"/>
        <v>166.07</v>
      </c>
      <c r="D21" s="122">
        <v>0</v>
      </c>
      <c r="E21" s="127">
        <f t="shared" si="0"/>
        <v>46.027521210159449</v>
      </c>
    </row>
    <row r="22" spans="1:5">
      <c r="A22" s="107">
        <v>2017</v>
      </c>
      <c r="B22" s="115">
        <v>130.3816176470587</v>
      </c>
      <c r="C22" s="126">
        <f t="shared" si="1"/>
        <v>166.07</v>
      </c>
      <c r="D22" s="122">
        <v>0</v>
      </c>
      <c r="E22" s="127">
        <f t="shared" si="0"/>
        <v>46.027521210159449</v>
      </c>
    </row>
    <row r="23" spans="1:5">
      <c r="A23" s="107">
        <v>2018</v>
      </c>
      <c r="B23" s="115">
        <v>119.52989583333328</v>
      </c>
      <c r="C23" s="126">
        <f t="shared" si="1"/>
        <v>166.07</v>
      </c>
      <c r="D23" s="122">
        <v>0</v>
      </c>
      <c r="E23" s="127">
        <f t="shared" si="0"/>
        <v>46.027521210159449</v>
      </c>
    </row>
    <row r="24" spans="1:5">
      <c r="A24" s="107">
        <v>2019</v>
      </c>
      <c r="B24" s="115">
        <v>113.39482482352832</v>
      </c>
      <c r="C24" s="126">
        <f t="shared" si="1"/>
        <v>166.07</v>
      </c>
      <c r="D24" s="122">
        <v>0</v>
      </c>
      <c r="E24" s="127">
        <f t="shared" si="0"/>
        <v>46.027521210159449</v>
      </c>
    </row>
    <row r="25" spans="1:5">
      <c r="A25" s="107">
        <v>2020</v>
      </c>
      <c r="B25" s="115">
        <v>112.47721690770712</v>
      </c>
      <c r="C25" s="126">
        <f t="shared" si="1"/>
        <v>166.07</v>
      </c>
      <c r="D25" s="122">
        <v>0</v>
      </c>
      <c r="E25" s="127">
        <f t="shared" si="0"/>
        <v>46.027521210159449</v>
      </c>
    </row>
    <row r="26" spans="1:5">
      <c r="A26" s="107">
        <v>2021</v>
      </c>
      <c r="B26" s="115">
        <v>114.34999999999997</v>
      </c>
      <c r="C26" s="126">
        <f t="shared" si="1"/>
        <v>166.07</v>
      </c>
      <c r="D26" s="122">
        <v>0</v>
      </c>
      <c r="E26" s="127">
        <f t="shared" si="0"/>
        <v>46.027521210159449</v>
      </c>
    </row>
    <row r="27" spans="1:5">
      <c r="A27" s="107">
        <v>2022</v>
      </c>
      <c r="B27" s="115">
        <v>95.053101893893398</v>
      </c>
      <c r="C27" s="126">
        <f t="shared" si="1"/>
        <v>166.07</v>
      </c>
      <c r="D27" s="122">
        <v>141.14670857142855</v>
      </c>
      <c r="E27" s="127">
        <f t="shared" si="0"/>
        <v>46.027521210159449</v>
      </c>
    </row>
    <row r="28" spans="1:5">
      <c r="A28" s="107">
        <v>2023</v>
      </c>
      <c r="B28" s="115">
        <v>118.53579415046713</v>
      </c>
      <c r="C28" s="126">
        <f t="shared" si="1"/>
        <v>166.07</v>
      </c>
      <c r="D28" s="122">
        <v>143.8570302857143</v>
      </c>
      <c r="E28" s="127">
        <f t="shared" si="0"/>
        <v>46.027521210159449</v>
      </c>
    </row>
    <row r="29" spans="1:5">
      <c r="A29" s="107">
        <v>2024</v>
      </c>
      <c r="B29" s="115">
        <v>129.37419745571955</v>
      </c>
      <c r="C29" s="126">
        <f t="shared" si="1"/>
        <v>166.07</v>
      </c>
      <c r="D29" s="122">
        <v>146.618844</v>
      </c>
      <c r="E29" s="127">
        <f t="shared" si="0"/>
        <v>46.027521210159449</v>
      </c>
    </row>
    <row r="30" spans="1:5">
      <c r="A30" s="107">
        <v>2025</v>
      </c>
      <c r="B30" s="115">
        <v>129.89126084848482</v>
      </c>
      <c r="C30" s="126">
        <f t="shared" si="1"/>
        <v>166.07</v>
      </c>
      <c r="D30" s="122">
        <v>149.43394114285715</v>
      </c>
      <c r="E30" s="127">
        <f t="shared" si="0"/>
        <v>46.027521210159449</v>
      </c>
    </row>
    <row r="31" spans="1:5">
      <c r="A31" s="107">
        <v>2026</v>
      </c>
      <c r="B31" s="115">
        <v>125.62503767302151</v>
      </c>
      <c r="C31" s="126">
        <f t="shared" si="1"/>
        <v>166.07</v>
      </c>
      <c r="D31" s="122">
        <v>152.303292</v>
      </c>
      <c r="E31" s="127">
        <f t="shared" si="0"/>
        <v>46.027521210159449</v>
      </c>
    </row>
    <row r="32" spans="1:5">
      <c r="A32" s="107">
        <v>2027</v>
      </c>
      <c r="B32" s="115">
        <v>125.12448107542953</v>
      </c>
      <c r="C32" s="126">
        <f t="shared" si="1"/>
        <v>166.07</v>
      </c>
      <c r="D32" s="122">
        <v>155.22718799999998</v>
      </c>
      <c r="E32" s="127">
        <f t="shared" si="0"/>
        <v>46.027521210159449</v>
      </c>
    </row>
    <row r="33" spans="1:5">
      <c r="A33" s="107">
        <v>2028</v>
      </c>
      <c r="B33" s="115">
        <v>131.54910165128291</v>
      </c>
      <c r="C33" s="126">
        <f t="shared" si="1"/>
        <v>166.07</v>
      </c>
      <c r="D33" s="122">
        <v>158.20864457142855</v>
      </c>
      <c r="E33" s="127">
        <f t="shared" si="0"/>
        <v>46.027521210159449</v>
      </c>
    </row>
    <row r="34" spans="1:5">
      <c r="A34" s="107">
        <v>2029</v>
      </c>
      <c r="B34" s="115">
        <v>132.39428807313919</v>
      </c>
      <c r="C34" s="126">
        <f>+C33</f>
        <v>166.07</v>
      </c>
      <c r="D34" s="125">
        <v>161.24517942857145</v>
      </c>
      <c r="E34" s="127">
        <f t="shared" si="0"/>
        <v>46.027521210159449</v>
      </c>
    </row>
    <row r="35" spans="1:5">
      <c r="A35" s="107">
        <v>2030</v>
      </c>
      <c r="B35" s="115">
        <v>138.6750385495007</v>
      </c>
      <c r="C35" s="126">
        <f t="shared" si="1"/>
        <v>166.07</v>
      </c>
      <c r="D35" s="125">
        <v>164.34174857142855</v>
      </c>
      <c r="E35" s="127">
        <f t="shared" si="0"/>
        <v>46.027521210159449</v>
      </c>
    </row>
    <row r="36" spans="1:5">
      <c r="A36" s="107">
        <v>2031</v>
      </c>
      <c r="B36" s="115">
        <v>144.41941869406716</v>
      </c>
      <c r="C36" s="126">
        <f>+C35</f>
        <v>166.07</v>
      </c>
      <c r="D36" s="125">
        <v>167.49664114285716</v>
      </c>
      <c r="E36" s="127">
        <f t="shared" si="0"/>
        <v>46.027521210159449</v>
      </c>
    </row>
    <row r="37" spans="1:5">
      <c r="A37" s="107">
        <v>2032</v>
      </c>
      <c r="B37" s="115">
        <v>151.95502560732083</v>
      </c>
      <c r="C37" s="126">
        <f>+C36</f>
        <v>166.07</v>
      </c>
      <c r="D37" s="125">
        <v>170.71249885714286</v>
      </c>
      <c r="E37" s="127">
        <f t="shared" si="0"/>
        <v>46.027521210159449</v>
      </c>
    </row>
    <row r="38" spans="1:5" ht="13.5" thickBot="1">
      <c r="A38" s="107"/>
      <c r="B38" s="115"/>
      <c r="C38" s="116"/>
      <c r="D38" s="121"/>
      <c r="E38" s="114"/>
    </row>
    <row r="39" spans="1:5">
      <c r="A39" s="109"/>
      <c r="B39" s="117"/>
      <c r="C39" s="118"/>
      <c r="D39" s="123"/>
      <c r="E39" s="124"/>
    </row>
    <row r="40" spans="1:5">
      <c r="A40" s="107" t="s">
        <v>195</v>
      </c>
      <c r="B40" s="119">
        <f>+NPV(disc_rate_ene,B15:B37)</f>
        <v>1270.0165042519604</v>
      </c>
      <c r="C40" s="116">
        <f>+NPV(disc_rate_ene,C15:C37)</f>
        <v>1902.7366186559786</v>
      </c>
      <c r="D40" s="125">
        <f>NPV(disc_rate_cap,D15:D37)</f>
        <v>527.35744007066421</v>
      </c>
      <c r="E40" s="126">
        <f>NPV(disc_rate_cap,E15:E37)</f>
        <v>527.35744007066364</v>
      </c>
    </row>
    <row r="41" spans="1:5" ht="13.5" thickBot="1">
      <c r="A41" s="108"/>
      <c r="B41" s="120"/>
      <c r="C41" s="112"/>
      <c r="D41" s="120"/>
      <c r="E41" s="112"/>
    </row>
  </sheetData>
  <mergeCells count="3">
    <mergeCell ref="B10:C10"/>
    <mergeCell ref="D10:E10"/>
    <mergeCell ref="A10:A13"/>
  </mergeCells>
  <phoneticPr fontId="28"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theme="9"/>
    <pageSetUpPr fitToPage="1"/>
  </sheetPr>
  <dimension ref="A1:CT164"/>
  <sheetViews>
    <sheetView showGridLines="0" topLeftCell="A40" zoomScale="70" zoomScaleNormal="70" workbookViewId="0">
      <selection activeCell="B114" sqref="B114"/>
    </sheetView>
  </sheetViews>
  <sheetFormatPr defaultRowHeight="12.75"/>
  <cols>
    <col min="1" max="1" width="65.5703125" style="229" customWidth="1"/>
    <col min="2" max="2" width="72.140625" style="149" bestFit="1" customWidth="1"/>
    <col min="3" max="3" width="20.7109375" style="162" customWidth="1"/>
    <col min="4" max="4" width="38.28515625" style="162" customWidth="1"/>
    <col min="5" max="5" width="23.28515625" style="149" customWidth="1"/>
    <col min="6" max="6" width="9.140625" style="149"/>
    <col min="7" max="7" width="10.5703125" style="149" customWidth="1"/>
    <col min="8" max="8" width="9.85546875" style="149" customWidth="1"/>
    <col min="9" max="13" width="9.140625" style="149"/>
    <col min="14" max="14" width="14.140625" style="149" customWidth="1"/>
    <col min="15" max="15" width="9.140625" style="149"/>
    <col min="16" max="16" width="11.7109375" style="149" customWidth="1"/>
    <col min="17" max="17" width="9.7109375" style="149" customWidth="1"/>
    <col min="18" max="18" width="10.140625" style="149" bestFit="1" customWidth="1"/>
    <col min="19" max="20" width="9.140625" style="149"/>
    <col min="21" max="21" width="7.7109375" style="149" bestFit="1" customWidth="1"/>
    <col min="22" max="16384" width="9.140625" style="149"/>
  </cols>
  <sheetData>
    <row r="1" spans="1:19" ht="15.75">
      <c r="A1" s="148" t="str">
        <f>"Custom Project Development Agreement Generator Version " &amp; version</f>
        <v>Custom Project Development Agreement Generator Version 2016.2.1</v>
      </c>
      <c r="C1" s="150"/>
      <c r="D1" s="150"/>
      <c r="E1" s="151"/>
      <c r="F1" s="151"/>
    </row>
    <row r="2" spans="1:19" ht="15.75">
      <c r="A2" s="148" t="s">
        <v>128</v>
      </c>
      <c r="C2" s="152"/>
      <c r="D2" s="150"/>
      <c r="E2" s="151"/>
      <c r="F2" s="151"/>
      <c r="H2" s="153"/>
      <c r="I2" s="154"/>
      <c r="J2" s="154"/>
      <c r="K2" s="154"/>
      <c r="L2" s="154"/>
      <c r="O2" s="239"/>
      <c r="P2" s="202"/>
      <c r="Q2" s="154"/>
      <c r="R2" s="239"/>
    </row>
    <row r="3" spans="1:19">
      <c r="A3" s="149"/>
      <c r="C3" s="150"/>
      <c r="D3" s="150"/>
      <c r="E3" s="151"/>
      <c r="F3" s="151"/>
      <c r="H3" s="153"/>
      <c r="I3" s="154"/>
      <c r="O3" s="252"/>
      <c r="P3" s="202"/>
      <c r="Q3" s="202"/>
      <c r="R3" s="154"/>
    </row>
    <row r="4" spans="1:19">
      <c r="A4" s="152" t="s">
        <v>57</v>
      </c>
      <c r="C4" s="150"/>
      <c r="D4" s="150"/>
      <c r="E4" s="151"/>
      <c r="F4" s="151"/>
      <c r="H4" s="153"/>
      <c r="I4" s="154"/>
      <c r="O4" s="239"/>
      <c r="P4" s="201"/>
      <c r="Q4" s="201"/>
      <c r="R4" s="154"/>
    </row>
    <row r="5" spans="1:19">
      <c r="A5" s="156" t="s">
        <v>117</v>
      </c>
      <c r="B5" s="157"/>
      <c r="C5" s="158"/>
      <c r="D5" s="158"/>
      <c r="E5" s="159"/>
      <c r="F5" s="159"/>
      <c r="G5" s="157"/>
      <c r="H5" s="160"/>
      <c r="I5" s="157"/>
      <c r="J5" s="157"/>
      <c r="K5" s="157"/>
      <c r="L5" s="157"/>
      <c r="O5" s="239"/>
      <c r="P5" s="202"/>
      <c r="Q5" s="202"/>
      <c r="R5" s="154"/>
    </row>
    <row r="6" spans="1:19" ht="13.5" thickBot="1">
      <c r="A6" s="161" t="s">
        <v>136</v>
      </c>
      <c r="O6" s="202"/>
      <c r="P6" s="202"/>
      <c r="Q6" s="202"/>
      <c r="R6" s="154"/>
    </row>
    <row r="7" spans="1:19" ht="14.25" thickTop="1" thickBot="1">
      <c r="A7" s="163" t="s">
        <v>118</v>
      </c>
      <c r="B7" s="164"/>
      <c r="C7" s="165"/>
      <c r="D7" s="165"/>
      <c r="E7" s="166"/>
      <c r="F7" s="166"/>
      <c r="G7" s="167"/>
      <c r="H7" s="168"/>
      <c r="I7" s="169"/>
      <c r="J7" s="167"/>
      <c r="K7" s="167"/>
      <c r="L7" s="170"/>
    </row>
    <row r="8" spans="1:19" ht="13.5" thickTop="1">
      <c r="A8" s="171" t="s">
        <v>142</v>
      </c>
      <c r="C8" s="150"/>
      <c r="D8" s="150"/>
      <c r="E8" s="151"/>
      <c r="F8" s="151"/>
      <c r="H8" s="153"/>
      <c r="I8" s="154"/>
    </row>
    <row r="9" spans="1:19">
      <c r="A9" s="172"/>
      <c r="B9" s="172" t="s">
        <v>28</v>
      </c>
      <c r="C9" s="172" t="s">
        <v>29</v>
      </c>
      <c r="D9" s="172" t="s">
        <v>30</v>
      </c>
      <c r="E9" s="173" t="s">
        <v>40</v>
      </c>
      <c r="F9" s="174"/>
      <c r="G9" s="175"/>
      <c r="H9" s="175"/>
      <c r="I9" s="175"/>
      <c r="J9" s="175"/>
      <c r="K9" s="175"/>
      <c r="L9" s="175"/>
      <c r="M9" s="175"/>
      <c r="N9" s="176"/>
    </row>
    <row r="10" spans="1:19" s="154" customFormat="1">
      <c r="A10" s="177" t="s">
        <v>139</v>
      </c>
      <c r="B10" s="178" t="s">
        <v>137</v>
      </c>
      <c r="C10" s="179" t="s">
        <v>138</v>
      </c>
      <c r="D10" s="179" t="str">
        <f>'Rev Log'!B30</f>
        <v>2016.2.1</v>
      </c>
      <c r="E10" s="180"/>
      <c r="F10" s="181"/>
      <c r="G10" s="181"/>
      <c r="H10" s="181"/>
      <c r="I10" s="181"/>
      <c r="J10" s="181"/>
      <c r="K10" s="181"/>
      <c r="L10" s="181"/>
      <c r="M10" s="181"/>
      <c r="N10" s="182"/>
    </row>
    <row r="11" spans="1:19" s="154" customFormat="1">
      <c r="A11" s="183"/>
      <c r="B11" s="184" t="s">
        <v>165</v>
      </c>
      <c r="C11" s="185"/>
      <c r="D11" s="186">
        <v>41456</v>
      </c>
      <c r="E11" s="187"/>
      <c r="F11" s="188"/>
      <c r="G11" s="188"/>
      <c r="H11" s="188"/>
      <c r="I11" s="188"/>
      <c r="J11" s="188"/>
      <c r="K11" s="188"/>
      <c r="L11" s="188"/>
      <c r="M11" s="188"/>
      <c r="N11" s="189"/>
    </row>
    <row r="12" spans="1:19" s="154" customFormat="1">
      <c r="A12" s="190"/>
      <c r="B12" s="191" t="s">
        <v>166</v>
      </c>
      <c r="C12" s="192"/>
      <c r="D12" s="192" t="s">
        <v>239</v>
      </c>
      <c r="E12" s="193"/>
      <c r="F12" s="194"/>
      <c r="G12" s="194"/>
      <c r="H12" s="194"/>
      <c r="I12" s="194"/>
      <c r="J12" s="194"/>
      <c r="K12" s="194"/>
      <c r="L12" s="194"/>
      <c r="M12" s="194"/>
      <c r="N12" s="195"/>
    </row>
    <row r="13" spans="1:19" s="154" customFormat="1">
      <c r="A13" s="543" t="s">
        <v>51</v>
      </c>
      <c r="B13" s="196" t="s">
        <v>130</v>
      </c>
      <c r="C13" s="197" t="s">
        <v>253</v>
      </c>
      <c r="D13" s="282" t="e">
        <f>#REF!</f>
        <v>#REF!</v>
      </c>
      <c r="E13" s="198"/>
      <c r="F13" s="188"/>
      <c r="G13" s="199"/>
      <c r="H13" s="199"/>
      <c r="I13" s="199"/>
      <c r="J13" s="199"/>
      <c r="K13" s="199"/>
      <c r="L13" s="199"/>
      <c r="M13" s="199"/>
      <c r="N13" s="200"/>
    </row>
    <row r="14" spans="1:19" s="154" customFormat="1">
      <c r="A14" s="544"/>
      <c r="B14" s="196" t="s">
        <v>228</v>
      </c>
      <c r="C14" s="197" t="s">
        <v>254</v>
      </c>
      <c r="D14" s="283" t="e">
        <f>#REF!</f>
        <v>#REF!</v>
      </c>
      <c r="E14" s="198"/>
      <c r="F14" s="188"/>
      <c r="G14" s="199"/>
      <c r="H14" s="199"/>
      <c r="I14" s="199"/>
      <c r="J14" s="199"/>
      <c r="K14" s="199"/>
      <c r="L14" s="199"/>
      <c r="M14" s="199"/>
      <c r="N14" s="200"/>
    </row>
    <row r="15" spans="1:19" s="154" customFormat="1">
      <c r="A15" s="544"/>
      <c r="B15" s="196" t="s">
        <v>41</v>
      </c>
      <c r="C15" s="197" t="s">
        <v>249</v>
      </c>
      <c r="D15" s="282" t="e">
        <f>#REF!</f>
        <v>#REF!</v>
      </c>
      <c r="E15" s="198"/>
      <c r="F15" s="188"/>
      <c r="G15" s="199"/>
      <c r="H15" s="199"/>
      <c r="I15" s="199"/>
      <c r="J15" s="199"/>
      <c r="K15" s="199"/>
      <c r="L15" s="199"/>
      <c r="M15" s="199"/>
      <c r="N15" s="200"/>
      <c r="Q15" s="201"/>
      <c r="R15" s="201"/>
      <c r="S15" s="202"/>
    </row>
    <row r="16" spans="1:19" s="154" customFormat="1">
      <c r="A16" s="544"/>
      <c r="B16" s="213" t="s">
        <v>251</v>
      </c>
      <c r="C16" s="197" t="s">
        <v>250</v>
      </c>
      <c r="D16" s="281" t="e">
        <f>#REF!</f>
        <v>#REF!</v>
      </c>
      <c r="E16" s="198"/>
      <c r="F16" s="188"/>
      <c r="G16" s="199"/>
      <c r="H16" s="199"/>
      <c r="I16" s="199"/>
      <c r="J16" s="199"/>
      <c r="K16" s="199"/>
      <c r="L16" s="199"/>
      <c r="M16" s="199"/>
      <c r="N16" s="200"/>
      <c r="Q16" s="201"/>
      <c r="R16" s="201"/>
      <c r="S16" s="202"/>
    </row>
    <row r="17" spans="1:22" s="154" customFormat="1">
      <c r="A17" s="544"/>
      <c r="B17" s="213" t="s">
        <v>42</v>
      </c>
      <c r="C17" s="197" t="s">
        <v>45</v>
      </c>
      <c r="D17" s="281" t="e">
        <f>"C-"&amp;#REF!</f>
        <v>#REF!</v>
      </c>
      <c r="E17" s="198"/>
      <c r="F17" s="188"/>
      <c r="G17" s="199"/>
      <c r="H17" s="199"/>
      <c r="I17" s="199"/>
      <c r="J17" s="199"/>
      <c r="K17" s="199"/>
      <c r="L17" s="199"/>
      <c r="M17" s="199"/>
      <c r="N17" s="200"/>
      <c r="Q17" s="203"/>
      <c r="R17" s="203"/>
      <c r="S17" s="204"/>
      <c r="T17" s="199"/>
      <c r="U17" s="199"/>
      <c r="V17" s="199"/>
    </row>
    <row r="18" spans="1:22" s="154" customFormat="1">
      <c r="A18" s="544"/>
      <c r="B18" s="213" t="s">
        <v>241</v>
      </c>
      <c r="C18" s="197" t="s">
        <v>248</v>
      </c>
      <c r="D18" s="281" t="e">
        <f>#REF!</f>
        <v>#REF!</v>
      </c>
      <c r="E18" s="198"/>
      <c r="F18" s="188"/>
      <c r="G18" s="199"/>
      <c r="H18" s="199"/>
      <c r="I18" s="199"/>
      <c r="J18" s="199"/>
      <c r="K18" s="199"/>
      <c r="L18" s="199"/>
      <c r="M18" s="199"/>
      <c r="N18" s="200"/>
      <c r="Q18" s="203"/>
      <c r="R18" s="203"/>
      <c r="S18" s="204"/>
      <c r="T18" s="199"/>
      <c r="U18" s="199"/>
      <c r="V18" s="199"/>
    </row>
    <row r="19" spans="1:22" s="199" customFormat="1">
      <c r="A19" s="544"/>
      <c r="B19" s="196" t="s">
        <v>43</v>
      </c>
      <c r="C19" s="197" t="s">
        <v>46</v>
      </c>
      <c r="D19" s="250" t="e">
        <f>#REF!</f>
        <v>#REF!</v>
      </c>
      <c r="E19" s="198"/>
      <c r="F19" s="188"/>
      <c r="N19" s="200"/>
      <c r="Q19" s="203"/>
      <c r="R19" s="203"/>
      <c r="S19" s="205"/>
    </row>
    <row r="20" spans="1:22" s="199" customFormat="1">
      <c r="A20" s="544"/>
      <c r="B20" s="196" t="s">
        <v>44</v>
      </c>
      <c r="C20" s="197" t="s">
        <v>47</v>
      </c>
      <c r="D20" s="284" t="e">
        <f>#REF!</f>
        <v>#REF!</v>
      </c>
      <c r="E20" s="198"/>
      <c r="F20" s="188"/>
      <c r="N20" s="200"/>
      <c r="Q20" s="203"/>
      <c r="R20" s="203"/>
      <c r="S20" s="205"/>
    </row>
    <row r="21" spans="1:22" s="199" customFormat="1">
      <c r="A21" s="544"/>
      <c r="B21" s="196" t="s">
        <v>115</v>
      </c>
      <c r="C21" s="197" t="s">
        <v>116</v>
      </c>
      <c r="D21" s="281">
        <f ca="1">YEAR(TODAY())</f>
        <v>2017</v>
      </c>
      <c r="E21" s="198"/>
      <c r="F21" s="188"/>
      <c r="N21" s="200"/>
      <c r="R21" s="206"/>
      <c r="S21" s="203"/>
      <c r="T21" s="204"/>
      <c r="U21" s="207"/>
      <c r="V21" s="188"/>
    </row>
    <row r="22" spans="1:22">
      <c r="A22" s="540" t="s">
        <v>149</v>
      </c>
      <c r="B22" s="354" t="s">
        <v>252</v>
      </c>
      <c r="C22" s="209" t="s">
        <v>261</v>
      </c>
      <c r="D22" s="350" t="e">
        <f>project_end_date</f>
        <v>#REF!</v>
      </c>
      <c r="E22" s="349"/>
      <c r="F22" s="210"/>
      <c r="G22" s="210"/>
      <c r="H22" s="210"/>
      <c r="I22" s="210"/>
      <c r="J22" s="210"/>
      <c r="K22" s="210"/>
      <c r="L22" s="210"/>
      <c r="M22" s="210"/>
      <c r="N22" s="211"/>
      <c r="Q22" s="199"/>
      <c r="R22" s="203"/>
      <c r="S22" s="212"/>
      <c r="T22" s="212"/>
      <c r="U22" s="214"/>
      <c r="V22" s="212"/>
    </row>
    <row r="23" spans="1:22" ht="12.75" customHeight="1">
      <c r="A23" s="541"/>
      <c r="B23" s="196" t="s">
        <v>124</v>
      </c>
      <c r="C23" s="185" t="s">
        <v>110</v>
      </c>
      <c r="D23" s="285" t="e">
        <f>YEAR(project_end_date)</f>
        <v>#REF!</v>
      </c>
      <c r="E23" s="219" t="s">
        <v>167</v>
      </c>
      <c r="F23" s="199"/>
      <c r="G23" s="199"/>
      <c r="H23" s="199"/>
      <c r="I23" s="199"/>
      <c r="J23" s="199"/>
      <c r="K23" s="199"/>
      <c r="L23" s="199"/>
      <c r="M23" s="199"/>
      <c r="N23" s="200"/>
      <c r="Q23" s="199"/>
      <c r="R23" s="203"/>
      <c r="S23" s="217"/>
      <c r="T23" s="218"/>
      <c r="U23" s="214"/>
      <c r="V23" s="212"/>
    </row>
    <row r="24" spans="1:22">
      <c r="A24" s="541"/>
      <c r="B24" s="196" t="s">
        <v>126</v>
      </c>
      <c r="C24" s="185" t="s">
        <v>125</v>
      </c>
      <c r="D24" s="285" t="e">
        <f>MonthText(project_end_date)</f>
        <v>#VALUE!</v>
      </c>
      <c r="E24" s="219"/>
      <c r="F24" s="199"/>
      <c r="G24" s="199"/>
      <c r="H24" s="199"/>
      <c r="I24" s="199"/>
      <c r="J24" s="199"/>
      <c r="K24" s="199"/>
      <c r="L24" s="199"/>
      <c r="M24" s="199"/>
      <c r="N24" s="200"/>
      <c r="Q24" s="212"/>
      <c r="R24" s="199"/>
      <c r="S24" s="220"/>
      <c r="T24" s="220"/>
      <c r="U24" s="207"/>
      <c r="V24" s="212"/>
    </row>
    <row r="25" spans="1:22">
      <c r="A25" s="541"/>
      <c r="B25" s="196" t="s">
        <v>161</v>
      </c>
      <c r="C25" s="185" t="s">
        <v>159</v>
      </c>
      <c r="D25" s="285" t="e">
        <f>#REF!</f>
        <v>#REF!</v>
      </c>
      <c r="E25" s="219" t="s">
        <v>160</v>
      </c>
      <c r="F25" s="199"/>
      <c r="G25" s="199"/>
      <c r="H25" s="199"/>
      <c r="I25" s="199"/>
      <c r="J25" s="199"/>
      <c r="K25" s="199"/>
      <c r="L25" s="199"/>
      <c r="M25" s="199"/>
      <c r="N25" s="200"/>
      <c r="P25" s="83"/>
      <c r="Q25" s="212"/>
      <c r="R25" s="199"/>
      <c r="S25" s="220"/>
      <c r="T25" s="220"/>
      <c r="U25" s="207"/>
      <c r="V25" s="212"/>
    </row>
    <row r="26" spans="1:22" s="199" customFormat="1">
      <c r="A26" s="541"/>
      <c r="B26" s="222" t="s">
        <v>54</v>
      </c>
      <c r="C26" s="223" t="s">
        <v>61</v>
      </c>
      <c r="D26" s="286" t="e">
        <f>(energy_charge*cust_sav_kwh)+12*(demand_charge*cust_NCPD_sav_kw)</f>
        <v>#REF!</v>
      </c>
      <c r="E26" s="221"/>
      <c r="N26" s="200"/>
    </row>
    <row r="27" spans="1:22" s="199" customFormat="1">
      <c r="A27" s="541"/>
      <c r="B27" s="196" t="s">
        <v>59</v>
      </c>
      <c r="C27" s="197" t="s">
        <v>60</v>
      </c>
      <c r="D27" s="287" t="e">
        <f>#REF!</f>
        <v>#REF!</v>
      </c>
      <c r="E27" s="219" t="s">
        <v>131</v>
      </c>
      <c r="F27" s="188"/>
      <c r="N27" s="200"/>
    </row>
    <row r="28" spans="1:22" s="199" customFormat="1">
      <c r="A28" s="541"/>
      <c r="B28" s="213" t="s">
        <v>155</v>
      </c>
      <c r="C28" s="185" t="s">
        <v>145</v>
      </c>
      <c r="D28" s="288" t="e">
        <f>#REF!</f>
        <v>#REF!</v>
      </c>
      <c r="E28" s="219" t="s">
        <v>132</v>
      </c>
      <c r="F28" s="188"/>
      <c r="N28" s="200"/>
      <c r="P28" s="203"/>
      <c r="Q28" s="154"/>
      <c r="R28" s="154"/>
      <c r="S28" s="207"/>
    </row>
    <row r="29" spans="1:22" s="199" customFormat="1">
      <c r="A29" s="541"/>
      <c r="B29" s="213" t="s">
        <v>203</v>
      </c>
      <c r="C29" s="185" t="s">
        <v>147</v>
      </c>
      <c r="D29" s="288" t="e">
        <f>#REF!</f>
        <v>#REF!</v>
      </c>
      <c r="E29" s="219" t="s">
        <v>146</v>
      </c>
      <c r="F29" s="188"/>
      <c r="N29" s="200"/>
      <c r="P29" s="203"/>
      <c r="Q29" s="154"/>
      <c r="R29" s="154"/>
      <c r="S29" s="207"/>
    </row>
    <row r="30" spans="1:22" s="154" customFormat="1">
      <c r="A30" s="541"/>
      <c r="B30" s="196" t="s">
        <v>55</v>
      </c>
      <c r="C30" s="197" t="s">
        <v>62</v>
      </c>
      <c r="D30" s="373" t="e">
        <f>#REF!</f>
        <v>#REF!</v>
      </c>
      <c r="E30" s="224"/>
      <c r="F30" s="188"/>
      <c r="G30" s="199"/>
      <c r="H30" s="199"/>
      <c r="I30" s="199"/>
      <c r="J30" s="199"/>
      <c r="K30" s="199"/>
      <c r="L30" s="199"/>
      <c r="M30" s="199"/>
      <c r="N30" s="200"/>
      <c r="P30" s="203"/>
      <c r="Q30" s="149"/>
      <c r="R30" s="149"/>
      <c r="S30" s="207"/>
      <c r="T30" s="199"/>
    </row>
    <row r="31" spans="1:22" s="154" customFormat="1">
      <c r="A31" s="541"/>
      <c r="B31" s="213" t="s">
        <v>56</v>
      </c>
      <c r="C31" s="185" t="s">
        <v>63</v>
      </c>
      <c r="D31" s="287" t="e">
        <f>ann_ecost_savings+ann_nonecost_savings</f>
        <v>#REF!</v>
      </c>
      <c r="E31" s="219"/>
      <c r="F31" s="188"/>
      <c r="G31" s="188"/>
      <c r="H31" s="188"/>
      <c r="I31" s="188"/>
      <c r="J31" s="188"/>
      <c r="K31" s="188"/>
      <c r="L31" s="188"/>
      <c r="M31" s="188"/>
      <c r="N31" s="189"/>
      <c r="P31" s="225"/>
      <c r="Q31" s="149"/>
      <c r="R31" s="149"/>
      <c r="S31" s="207"/>
    </row>
    <row r="32" spans="1:22" s="154" customFormat="1">
      <c r="A32" s="541"/>
      <c r="B32" s="213" t="s">
        <v>122</v>
      </c>
      <c r="C32" s="185" t="s">
        <v>119</v>
      </c>
      <c r="D32" s="288" t="e">
        <f>#REF!</f>
        <v>#REF!</v>
      </c>
      <c r="E32" s="219" t="s">
        <v>133</v>
      </c>
      <c r="F32" s="188"/>
      <c r="G32" s="188"/>
      <c r="H32" s="188"/>
      <c r="I32" s="188"/>
      <c r="J32" s="188"/>
      <c r="K32" s="188"/>
      <c r="L32" s="188"/>
      <c r="M32" s="188"/>
      <c r="N32" s="189"/>
      <c r="P32" s="149"/>
      <c r="Q32" s="199"/>
      <c r="R32" s="149"/>
      <c r="S32" s="207"/>
    </row>
    <row r="33" spans="1:20" s="154" customFormat="1">
      <c r="A33" s="541"/>
      <c r="B33" s="213" t="s">
        <v>156</v>
      </c>
      <c r="C33" s="185" t="s">
        <v>154</v>
      </c>
      <c r="D33" s="288" t="e">
        <f>#REF!</f>
        <v>#REF!</v>
      </c>
      <c r="E33" s="219" t="s">
        <v>205</v>
      </c>
      <c r="F33" s="188"/>
      <c r="G33" s="188"/>
      <c r="H33" s="188"/>
      <c r="I33" s="188"/>
      <c r="J33" s="188"/>
      <c r="K33" s="188"/>
      <c r="L33" s="188"/>
      <c r="M33" s="188"/>
      <c r="N33" s="189"/>
      <c r="P33" s="149"/>
      <c r="Q33" s="199"/>
      <c r="R33" s="149"/>
      <c r="S33" s="207"/>
    </row>
    <row r="34" spans="1:20" s="154" customFormat="1">
      <c r="A34" s="541"/>
      <c r="B34" s="213" t="s">
        <v>204</v>
      </c>
      <c r="C34" s="185" t="s">
        <v>153</v>
      </c>
      <c r="D34" s="288" t="e">
        <f>#REF!</f>
        <v>#REF!</v>
      </c>
      <c r="E34" s="219" t="s">
        <v>152</v>
      </c>
      <c r="F34" s="188"/>
      <c r="G34" s="188"/>
      <c r="H34" s="188"/>
      <c r="I34" s="188"/>
      <c r="J34" s="188"/>
      <c r="K34" s="188"/>
      <c r="L34" s="188"/>
      <c r="M34" s="188"/>
      <c r="N34" s="189"/>
      <c r="P34" s="149"/>
      <c r="Q34" s="199"/>
      <c r="R34" s="149"/>
      <c r="S34" s="207"/>
    </row>
    <row r="35" spans="1:20" s="154" customFormat="1">
      <c r="A35" s="541"/>
      <c r="B35" s="213" t="s">
        <v>229</v>
      </c>
      <c r="C35" s="185" t="s">
        <v>230</v>
      </c>
      <c r="D35" s="289" t="e">
        <f>#REF!</f>
        <v>#REF!</v>
      </c>
      <c r="E35" s="219"/>
      <c r="F35" s="188"/>
      <c r="G35" s="188"/>
      <c r="H35" s="188"/>
      <c r="I35" s="188"/>
      <c r="J35" s="188"/>
      <c r="K35" s="188"/>
      <c r="L35" s="188"/>
      <c r="M35" s="188"/>
      <c r="N35" s="189"/>
      <c r="P35" s="149"/>
      <c r="Q35" s="199"/>
      <c r="R35" s="149"/>
      <c r="S35" s="207"/>
    </row>
    <row r="36" spans="1:20" s="154" customFormat="1">
      <c r="A36" s="541"/>
      <c r="B36" s="213" t="s">
        <v>129</v>
      </c>
      <c r="C36" s="185" t="s">
        <v>277</v>
      </c>
      <c r="D36" s="287" t="e">
        <f>NPV</f>
        <v>#REF!</v>
      </c>
      <c r="E36" s="219" t="s">
        <v>141</v>
      </c>
      <c r="F36" s="188"/>
      <c r="G36" s="188"/>
      <c r="H36" s="188"/>
      <c r="I36" s="188"/>
      <c r="J36" s="188"/>
      <c r="K36" s="188"/>
      <c r="L36" s="188"/>
      <c r="M36" s="188"/>
      <c r="N36" s="189"/>
      <c r="P36" s="212"/>
      <c r="Q36" s="199"/>
      <c r="R36" s="212"/>
      <c r="S36" s="207"/>
    </row>
    <row r="37" spans="1:20" s="154" customFormat="1">
      <c r="A37" s="542"/>
      <c r="B37" s="213" t="s">
        <v>120</v>
      </c>
      <c r="C37" s="185" t="s">
        <v>121</v>
      </c>
      <c r="D37" s="289" t="e">
        <f>#REF!</f>
        <v>#REF!</v>
      </c>
      <c r="E37" s="219" t="s">
        <v>134</v>
      </c>
      <c r="F37" s="188"/>
      <c r="G37" s="188"/>
      <c r="H37" s="188"/>
      <c r="I37" s="188"/>
      <c r="J37" s="188"/>
      <c r="K37" s="188"/>
      <c r="L37" s="188"/>
      <c r="M37" s="188"/>
      <c r="N37" s="189"/>
      <c r="P37" s="199"/>
      <c r="Q37" s="226"/>
      <c r="R37" s="199"/>
      <c r="S37" s="207"/>
    </row>
    <row r="38" spans="1:20" s="199" customFormat="1">
      <c r="A38" s="551" t="s">
        <v>0</v>
      </c>
      <c r="B38" s="208" t="s">
        <v>1</v>
      </c>
      <c r="C38" s="209" t="s">
        <v>64</v>
      </c>
      <c r="D38" s="352" t="e">
        <f>IMP_incentive</f>
        <v>#REF!</v>
      </c>
      <c r="E38" s="227" t="s">
        <v>135</v>
      </c>
      <c r="F38" s="181"/>
      <c r="G38" s="215"/>
      <c r="H38" s="215"/>
      <c r="I38" s="215"/>
      <c r="J38" s="215"/>
      <c r="K38" s="215"/>
      <c r="L38" s="215"/>
      <c r="M38" s="215"/>
      <c r="N38" s="216"/>
      <c r="P38" s="149"/>
      <c r="Q38" s="149"/>
      <c r="R38" s="149"/>
      <c r="S38" s="149"/>
      <c r="T38" s="212"/>
    </row>
    <row r="39" spans="1:20" s="212" customFormat="1">
      <c r="A39" s="552"/>
      <c r="B39" s="196" t="s">
        <v>2</v>
      </c>
      <c r="C39" s="197" t="s">
        <v>65</v>
      </c>
      <c r="D39" s="287" t="e">
        <f>NSPI_fin_amt</f>
        <v>#REF!</v>
      </c>
      <c r="E39" s="224" t="s">
        <v>3</v>
      </c>
      <c r="F39" s="188"/>
      <c r="G39" s="199"/>
      <c r="H39" s="199"/>
      <c r="I39" s="199"/>
      <c r="J39" s="199"/>
      <c r="K39" s="199"/>
      <c r="L39" s="199"/>
      <c r="M39" s="199"/>
      <c r="N39" s="200"/>
      <c r="P39" s="149"/>
      <c r="Q39" s="149"/>
      <c r="R39" s="149"/>
      <c r="T39" s="199"/>
    </row>
    <row r="40" spans="1:20">
      <c r="A40" s="552"/>
      <c r="B40" s="196" t="s">
        <v>112</v>
      </c>
      <c r="C40" s="197" t="s">
        <v>66</v>
      </c>
      <c r="D40" s="288" t="e">
        <f>NSPI_fin_length</f>
        <v>#REF!</v>
      </c>
      <c r="E40" s="224" t="s">
        <v>4</v>
      </c>
      <c r="F40" s="188"/>
      <c r="G40" s="199"/>
      <c r="H40" s="199"/>
      <c r="I40" s="199"/>
      <c r="J40" s="199"/>
      <c r="K40" s="199"/>
      <c r="L40" s="199"/>
      <c r="M40" s="199"/>
      <c r="N40" s="200"/>
      <c r="S40" s="199"/>
      <c r="T40" s="212"/>
    </row>
    <row r="41" spans="1:20">
      <c r="A41" s="552"/>
      <c r="B41" s="196" t="s">
        <v>211</v>
      </c>
      <c r="C41" s="197" t="s">
        <v>212</v>
      </c>
      <c r="D41" s="288" t="e">
        <f>POWER((1+financing_rate),(NSPI_fin_length/12))-1</f>
        <v>#REF!</v>
      </c>
      <c r="E41" s="224"/>
      <c r="F41" s="188"/>
      <c r="G41" s="199"/>
      <c r="H41" s="199"/>
      <c r="I41" s="199"/>
      <c r="J41" s="199"/>
      <c r="K41" s="199"/>
      <c r="L41" s="199"/>
      <c r="M41" s="199"/>
      <c r="N41" s="200"/>
      <c r="S41" s="199"/>
      <c r="T41" s="212"/>
    </row>
    <row r="42" spans="1:20">
      <c r="A42" s="552"/>
      <c r="B42" s="196" t="s">
        <v>5</v>
      </c>
      <c r="C42" s="197" t="s">
        <v>148</v>
      </c>
      <c r="D42" s="287" t="e">
        <f>NSPI_fin_cost</f>
        <v>#REF!</v>
      </c>
      <c r="E42" s="224" t="s">
        <v>6</v>
      </c>
      <c r="F42" s="188"/>
      <c r="G42" s="199"/>
      <c r="H42" s="199"/>
      <c r="I42" s="199"/>
      <c r="J42" s="199"/>
      <c r="K42" s="199"/>
      <c r="L42" s="199"/>
      <c r="M42" s="199"/>
      <c r="N42" s="200"/>
      <c r="S42" s="199"/>
      <c r="T42" s="212"/>
    </row>
    <row r="43" spans="1:20">
      <c r="A43" s="552"/>
      <c r="B43" s="196" t="s">
        <v>23</v>
      </c>
      <c r="C43" s="197"/>
      <c r="D43" s="288" t="e">
        <f>total_incentive</f>
        <v>#REF!</v>
      </c>
      <c r="E43" s="224" t="s">
        <v>24</v>
      </c>
      <c r="F43" s="188"/>
      <c r="G43" s="199"/>
      <c r="H43" s="199"/>
      <c r="I43" s="199"/>
      <c r="J43" s="199"/>
      <c r="K43" s="199"/>
      <c r="L43" s="199"/>
      <c r="M43" s="199"/>
      <c r="N43" s="200"/>
      <c r="S43" s="212"/>
    </row>
    <row r="44" spans="1:20">
      <c r="A44" s="552"/>
      <c r="B44" s="196" t="s">
        <v>259</v>
      </c>
      <c r="C44" s="197" t="s">
        <v>260</v>
      </c>
      <c r="D44" s="289" t="e">
        <f>(project_cost+NSPI_fin_cost)/ann_totcost_savings</f>
        <v>#REF!</v>
      </c>
      <c r="E44" s="224"/>
      <c r="F44" s="188"/>
      <c r="G44" s="199"/>
      <c r="H44" s="199"/>
      <c r="I44" s="199"/>
      <c r="J44" s="199"/>
      <c r="K44" s="199"/>
      <c r="L44" s="199"/>
      <c r="M44" s="199"/>
      <c r="N44" s="200"/>
      <c r="S44" s="212"/>
    </row>
    <row r="45" spans="1:20">
      <c r="A45" s="553"/>
      <c r="B45" s="196" t="s">
        <v>150</v>
      </c>
      <c r="C45" s="197" t="s">
        <v>151</v>
      </c>
      <c r="D45" s="290" t="e">
        <f>(project_cost-IMP_incentive)/ann_totcost_savings</f>
        <v>#REF!</v>
      </c>
      <c r="E45" s="224"/>
      <c r="F45" s="188"/>
      <c r="G45" s="199"/>
      <c r="H45" s="199"/>
      <c r="I45" s="199"/>
      <c r="J45" s="199"/>
      <c r="K45" s="199"/>
      <c r="L45" s="199"/>
      <c r="M45" s="199"/>
      <c r="N45" s="200"/>
      <c r="S45" s="212"/>
    </row>
    <row r="46" spans="1:20" s="212" customFormat="1">
      <c r="A46" s="548" t="s">
        <v>52</v>
      </c>
      <c r="B46" s="357" t="str">
        <f ca="1">current_yr&amp;" Energy Target (at Generator)"</f>
        <v>2017 Energy Target (at Generator)</v>
      </c>
      <c r="C46" s="256" t="s">
        <v>170</v>
      </c>
      <c r="D46" s="291">
        <v>29630000</v>
      </c>
      <c r="E46" s="257" t="s">
        <v>173</v>
      </c>
      <c r="F46" s="258"/>
      <c r="G46" s="259"/>
      <c r="H46" s="259"/>
      <c r="I46" s="259"/>
      <c r="J46" s="259"/>
      <c r="K46" s="259"/>
      <c r="L46" s="259"/>
      <c r="M46" s="259"/>
      <c r="N46" s="260"/>
      <c r="P46" s="149"/>
      <c r="Q46" s="149"/>
      <c r="R46" s="149"/>
      <c r="S46" s="149"/>
      <c r="T46" s="149"/>
    </row>
    <row r="47" spans="1:20" s="199" customFormat="1">
      <c r="A47" s="549"/>
      <c r="B47" s="261" t="str">
        <f ca="1">current_yr&amp;" Demand Target (at Generator)"</f>
        <v>2017 Demand Target (at Generator)</v>
      </c>
      <c r="C47" s="262" t="s">
        <v>169</v>
      </c>
      <c r="D47" s="292">
        <v>3700</v>
      </c>
      <c r="E47" s="263" t="s">
        <v>231</v>
      </c>
      <c r="F47" s="159"/>
      <c r="G47" s="264"/>
      <c r="H47" s="264"/>
      <c r="I47" s="264"/>
      <c r="J47" s="264"/>
      <c r="K47" s="264"/>
      <c r="L47" s="264"/>
      <c r="M47" s="264"/>
      <c r="N47" s="265"/>
    </row>
    <row r="48" spans="1:20" s="154" customFormat="1">
      <c r="A48" s="549"/>
      <c r="B48" s="261" t="str">
        <f ca="1">current_yr&amp;" Total Budget"</f>
        <v>2017 Total Budget</v>
      </c>
      <c r="C48" s="262" t="s">
        <v>168</v>
      </c>
      <c r="D48" s="293">
        <v>3537400</v>
      </c>
      <c r="E48" s="266" t="s">
        <v>238</v>
      </c>
      <c r="F48" s="159"/>
      <c r="G48" s="264"/>
      <c r="H48" s="264"/>
      <c r="I48" s="264"/>
      <c r="J48" s="264"/>
      <c r="K48" s="264"/>
      <c r="L48" s="264"/>
      <c r="M48" s="264"/>
      <c r="N48" s="265"/>
    </row>
    <row r="49" spans="1:56" s="154" customFormat="1">
      <c r="A49" s="549"/>
      <c r="B49" s="261" t="str">
        <f ca="1">"Percent "&amp;current_yr&amp;" Incentive Budget"</f>
        <v>Percent 2017 Incentive Budget</v>
      </c>
      <c r="C49" s="262" t="s">
        <v>48</v>
      </c>
      <c r="D49" s="334">
        <v>0.85</v>
      </c>
      <c r="E49" s="266" t="s">
        <v>172</v>
      </c>
      <c r="F49" s="159"/>
      <c r="G49" s="264"/>
      <c r="H49" s="264"/>
      <c r="I49" s="264"/>
      <c r="J49" s="264"/>
      <c r="K49" s="264"/>
      <c r="L49" s="264"/>
      <c r="M49" s="264"/>
      <c r="N49" s="265"/>
    </row>
    <row r="50" spans="1:56" s="154" customFormat="1">
      <c r="A50" s="550"/>
      <c r="B50" s="261" t="str">
        <f ca="1">current_yr&amp;" Total Incentive Budget"</f>
        <v>2017 Total Incentive Budget</v>
      </c>
      <c r="C50" s="262" t="s">
        <v>171</v>
      </c>
      <c r="D50" s="330">
        <f>budget*incentive_budget_ratio</f>
        <v>3006790</v>
      </c>
      <c r="E50" s="266" t="s">
        <v>236</v>
      </c>
      <c r="F50" s="159"/>
      <c r="G50" s="264"/>
      <c r="H50" s="264"/>
      <c r="I50" s="264"/>
      <c r="J50" s="264"/>
      <c r="K50" s="264"/>
      <c r="L50" s="264"/>
      <c r="M50" s="264"/>
      <c r="N50" s="265"/>
    </row>
    <row r="51" spans="1:56">
      <c r="A51" s="353" t="s">
        <v>174</v>
      </c>
      <c r="B51" s="267" t="s">
        <v>31</v>
      </c>
      <c r="C51" s="268" t="s">
        <v>32</v>
      </c>
      <c r="D51" s="424">
        <v>42735</v>
      </c>
      <c r="E51" s="269"/>
      <c r="F51" s="159"/>
      <c r="G51" s="264"/>
      <c r="H51" s="264"/>
      <c r="I51" s="264"/>
      <c r="J51" s="264"/>
      <c r="K51" s="264"/>
      <c r="L51" s="264"/>
      <c r="M51" s="264"/>
      <c r="N51" s="265"/>
    </row>
    <row r="52" spans="1:56">
      <c r="A52" s="548" t="s">
        <v>179</v>
      </c>
      <c r="B52" s="270" t="s">
        <v>49</v>
      </c>
      <c r="C52" s="271" t="s">
        <v>50</v>
      </c>
      <c r="D52" s="329">
        <v>0.08</v>
      </c>
      <c r="E52" s="272" t="s">
        <v>181</v>
      </c>
      <c r="F52" s="258"/>
      <c r="G52" s="259"/>
      <c r="H52" s="259"/>
      <c r="I52" s="259"/>
      <c r="J52" s="259"/>
      <c r="K52" s="259"/>
      <c r="L52" s="259"/>
      <c r="M52" s="259"/>
      <c r="N52" s="260"/>
    </row>
    <row r="53" spans="1:56">
      <c r="A53" s="549"/>
      <c r="B53" s="267" t="s">
        <v>177</v>
      </c>
      <c r="C53" s="268" t="s">
        <v>101</v>
      </c>
      <c r="D53" s="294">
        <v>6.8099999999999994E-2</v>
      </c>
      <c r="E53" s="269" t="s">
        <v>103</v>
      </c>
      <c r="F53" s="159"/>
      <c r="G53" s="264"/>
      <c r="H53" s="264"/>
      <c r="I53" s="264"/>
      <c r="J53" s="264"/>
      <c r="K53" s="264"/>
      <c r="L53" s="264"/>
      <c r="M53" s="264"/>
      <c r="N53" s="265"/>
    </row>
    <row r="54" spans="1:56">
      <c r="A54" s="549"/>
      <c r="B54" s="267" t="s">
        <v>178</v>
      </c>
      <c r="C54" s="268" t="s">
        <v>102</v>
      </c>
      <c r="D54" s="294">
        <v>6.8099999999999994E-2</v>
      </c>
      <c r="E54" s="269" t="s">
        <v>104</v>
      </c>
      <c r="F54" s="159"/>
      <c r="G54" s="264"/>
      <c r="H54" s="264"/>
      <c r="I54" s="264"/>
      <c r="J54" s="264"/>
      <c r="K54" s="264"/>
      <c r="L54" s="264"/>
      <c r="M54" s="264"/>
      <c r="N54" s="265"/>
    </row>
    <row r="55" spans="1:56">
      <c r="A55" s="549"/>
      <c r="B55" s="267" t="s">
        <v>143</v>
      </c>
      <c r="C55" s="268" t="s">
        <v>144</v>
      </c>
      <c r="D55" s="294">
        <v>0.02</v>
      </c>
      <c r="E55" s="269" t="s">
        <v>180</v>
      </c>
      <c r="F55" s="159"/>
      <c r="G55" s="264"/>
      <c r="H55" s="264"/>
      <c r="I55" s="264"/>
      <c r="J55" s="264"/>
      <c r="K55" s="264"/>
      <c r="L55" s="264"/>
      <c r="M55" s="264"/>
      <c r="N55" s="265"/>
    </row>
    <row r="56" spans="1:56">
      <c r="A56" s="549"/>
      <c r="B56" s="267" t="s">
        <v>176</v>
      </c>
      <c r="C56" s="268" t="s">
        <v>34</v>
      </c>
      <c r="D56" s="295">
        <v>0.04</v>
      </c>
      <c r="E56" s="267" t="s">
        <v>33</v>
      </c>
      <c r="F56" s="159"/>
      <c r="G56" s="264"/>
      <c r="H56" s="264"/>
      <c r="I56" s="264"/>
      <c r="J56" s="264"/>
      <c r="K56" s="264"/>
      <c r="L56" s="264"/>
      <c r="M56" s="264"/>
      <c r="N56" s="265"/>
    </row>
    <row r="57" spans="1:56">
      <c r="A57" s="549"/>
      <c r="B57" s="267" t="s">
        <v>175</v>
      </c>
      <c r="C57" s="273" t="s">
        <v>157</v>
      </c>
      <c r="D57" s="295">
        <v>0.15</v>
      </c>
      <c r="E57" s="269" t="s">
        <v>158</v>
      </c>
      <c r="F57" s="264"/>
      <c r="G57" s="264"/>
      <c r="H57" s="264"/>
      <c r="I57" s="264"/>
      <c r="J57" s="264"/>
      <c r="K57" s="264"/>
      <c r="L57" s="264"/>
      <c r="M57" s="264"/>
      <c r="N57" s="265"/>
    </row>
    <row r="58" spans="1:56">
      <c r="A58" s="550"/>
      <c r="B58" s="274" t="s">
        <v>206</v>
      </c>
      <c r="C58" s="275" t="s">
        <v>58</v>
      </c>
      <c r="D58" s="296">
        <v>556</v>
      </c>
      <c r="E58" s="276" t="s">
        <v>207</v>
      </c>
      <c r="F58" s="277"/>
      <c r="G58" s="277"/>
      <c r="H58" s="278"/>
      <c r="I58" s="278"/>
      <c r="J58" s="278"/>
      <c r="K58" s="278"/>
      <c r="L58" s="278"/>
      <c r="M58" s="278"/>
      <c r="N58" s="279"/>
    </row>
    <row r="59" spans="1:56">
      <c r="A59" s="308"/>
      <c r="B59" s="151"/>
      <c r="C59" s="150"/>
      <c r="D59" s="150"/>
      <c r="E59" s="151"/>
      <c r="F59" s="151"/>
    </row>
    <row r="60" spans="1:56">
      <c r="A60" s="228"/>
      <c r="B60" s="151"/>
      <c r="C60" s="150"/>
      <c r="D60" s="150"/>
      <c r="E60" s="151"/>
      <c r="F60" s="151"/>
    </row>
    <row r="61" spans="1:56" s="11" customFormat="1" ht="15" hidden="1">
      <c r="A61" s="229"/>
      <c r="B61" s="149"/>
      <c r="C61" s="162"/>
      <c r="D61" s="162"/>
      <c r="E61" s="149"/>
      <c r="F61" s="149"/>
      <c r="G61" s="149"/>
      <c r="H61" s="149"/>
      <c r="I61" s="149"/>
      <c r="J61" s="149"/>
      <c r="K61" s="149"/>
      <c r="L61" s="149"/>
      <c r="M61" s="149"/>
      <c r="N61" s="149"/>
      <c r="O61" s="12"/>
      <c r="P61" s="12"/>
      <c r="Q61" s="12"/>
      <c r="R61" s="12"/>
      <c r="S61" s="12"/>
      <c r="T61" s="12"/>
      <c r="U61" s="27"/>
      <c r="V61" s="27"/>
      <c r="W61" s="12"/>
      <c r="X61" s="12"/>
      <c r="Y61" s="27"/>
      <c r="Z61" s="27"/>
      <c r="AA61" s="12"/>
      <c r="AB61" s="12"/>
      <c r="AC61" s="27"/>
      <c r="AD61" s="27"/>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row>
    <row r="62" spans="1:56" s="11" customFormat="1" ht="15" hidden="1">
      <c r="A62" s="230" t="s">
        <v>111</v>
      </c>
      <c r="B62" s="155"/>
      <c r="C62" s="162"/>
      <c r="D62" s="162"/>
      <c r="E62" s="149"/>
      <c r="F62" s="149"/>
      <c r="G62" s="149"/>
      <c r="H62" s="149"/>
      <c r="I62" s="149"/>
      <c r="J62" s="149"/>
      <c r="K62" s="149"/>
      <c r="L62" s="149"/>
      <c r="M62" s="149"/>
      <c r="N62" s="149"/>
      <c r="O62" s="12"/>
      <c r="P62" s="12"/>
      <c r="Q62" s="12"/>
      <c r="R62" s="12"/>
      <c r="S62" s="12"/>
      <c r="T62" s="12"/>
      <c r="U62" s="27"/>
      <c r="V62" s="27"/>
      <c r="W62" s="12"/>
      <c r="X62" s="12"/>
      <c r="Y62" s="27"/>
      <c r="Z62" s="27"/>
      <c r="AA62" s="12"/>
      <c r="AB62" s="12"/>
      <c r="AC62" s="27"/>
      <c r="AD62" s="27"/>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row>
    <row r="63" spans="1:56" s="11" customFormat="1" ht="15.75" hidden="1" thickBot="1">
      <c r="A63" s="229"/>
      <c r="B63" s="149"/>
      <c r="C63" s="162"/>
      <c r="D63" s="162"/>
      <c r="E63" s="149"/>
      <c r="F63" s="149"/>
      <c r="G63" s="149"/>
      <c r="H63" s="149"/>
      <c r="I63" s="149"/>
      <c r="J63" s="149"/>
      <c r="K63" s="149"/>
      <c r="L63" s="149"/>
      <c r="M63" s="149"/>
      <c r="N63" s="149"/>
      <c r="O63" s="12"/>
      <c r="P63" s="12"/>
      <c r="Q63" s="12"/>
      <c r="R63" s="12"/>
      <c r="S63" s="12"/>
      <c r="T63" s="12"/>
      <c r="U63" s="27"/>
      <c r="V63" s="27"/>
      <c r="W63" s="12"/>
      <c r="X63" s="12"/>
      <c r="Y63" s="27"/>
      <c r="Z63" s="27"/>
      <c r="AA63" s="12"/>
      <c r="AB63" s="12"/>
      <c r="AC63" s="27"/>
      <c r="AD63" s="27"/>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row>
    <row r="64" spans="1:56" s="11" customFormat="1" ht="15.75" hidden="1" thickBot="1">
      <c r="A64" s="25" t="s">
        <v>81</v>
      </c>
      <c r="B64" s="231">
        <v>15</v>
      </c>
      <c r="C64" s="26" t="s">
        <v>82</v>
      </c>
      <c r="D64" s="59">
        <v>0</v>
      </c>
      <c r="E64" s="26" t="s">
        <v>87</v>
      </c>
      <c r="F64" s="232">
        <v>0</v>
      </c>
      <c r="H64" s="31"/>
      <c r="I64" s="92"/>
      <c r="J64" s="12"/>
      <c r="K64" s="12"/>
      <c r="L64" s="12"/>
      <c r="M64" s="12"/>
      <c r="O64" s="12"/>
      <c r="P64" s="12"/>
      <c r="Q64" s="12"/>
      <c r="R64" s="12"/>
      <c r="S64" s="12"/>
      <c r="T64" s="12"/>
      <c r="U64" s="27"/>
      <c r="V64" s="27"/>
      <c r="W64" s="12"/>
      <c r="X64" s="12"/>
      <c r="Y64" s="27"/>
      <c r="Z64" s="27"/>
      <c r="AA64" s="12"/>
      <c r="AB64" s="12"/>
      <c r="AC64" s="27"/>
      <c r="AD64" s="27"/>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row>
    <row r="65" spans="1:56" s="11" customFormat="1" ht="15" hidden="1">
      <c r="A65" s="229"/>
      <c r="B65" s="149"/>
      <c r="C65" s="162"/>
      <c r="D65" s="162"/>
      <c r="E65" s="149"/>
      <c r="F65" s="149"/>
      <c r="G65" s="149"/>
      <c r="H65" s="149"/>
      <c r="I65" s="149"/>
      <c r="J65" s="149"/>
      <c r="K65" s="149"/>
      <c r="L65" s="149"/>
      <c r="M65" s="149"/>
      <c r="N65" s="149"/>
      <c r="O65" s="12"/>
      <c r="P65" s="12"/>
      <c r="Q65" s="12"/>
      <c r="R65" s="12"/>
      <c r="S65" s="12"/>
      <c r="T65" s="12"/>
      <c r="U65" s="27"/>
      <c r="V65" s="27"/>
      <c r="W65" s="12"/>
      <c r="X65" s="12"/>
      <c r="Y65" s="27"/>
      <c r="Z65" s="27"/>
      <c r="AA65" s="12"/>
      <c r="AB65" s="12"/>
      <c r="AC65" s="27"/>
      <c r="AD65" s="27"/>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row>
    <row r="66" spans="1:56" s="11" customFormat="1" ht="15.75" hidden="1">
      <c r="A66" s="545" t="s">
        <v>92</v>
      </c>
      <c r="B66" s="546"/>
      <c r="C66" s="546"/>
      <c r="D66" s="547"/>
      <c r="E66" s="30"/>
      <c r="F66" s="545" t="s">
        <v>93</v>
      </c>
      <c r="G66" s="546"/>
      <c r="H66" s="546"/>
      <c r="I66" s="547"/>
      <c r="J66" s="32"/>
      <c r="K66" s="545" t="s">
        <v>94</v>
      </c>
      <c r="L66" s="546"/>
      <c r="M66" s="546"/>
      <c r="N66" s="547"/>
      <c r="O66" s="12"/>
      <c r="P66" s="12"/>
      <c r="Q66" s="12"/>
      <c r="R66" s="12"/>
      <c r="S66" s="12"/>
      <c r="T66" s="12"/>
      <c r="U66" s="27"/>
      <c r="V66" s="27"/>
      <c r="W66" s="12"/>
      <c r="X66" s="12"/>
      <c r="Y66" s="27"/>
      <c r="Z66" s="27"/>
      <c r="AA66" s="12"/>
      <c r="AB66" s="12"/>
      <c r="AC66" s="27"/>
      <c r="AD66" s="27"/>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1" customFormat="1" ht="75" hidden="1">
      <c r="A67" s="33" t="s">
        <v>83</v>
      </c>
      <c r="B67" s="34" t="s">
        <v>84</v>
      </c>
      <c r="C67" s="34" t="s">
        <v>85</v>
      </c>
      <c r="D67" s="33" t="s">
        <v>86</v>
      </c>
      <c r="E67" s="30"/>
      <c r="F67" s="33" t="s">
        <v>83</v>
      </c>
      <c r="G67" s="34" t="s">
        <v>95</v>
      </c>
      <c r="H67" s="34" t="s">
        <v>96</v>
      </c>
      <c r="I67" s="34" t="s">
        <v>97</v>
      </c>
      <c r="J67" s="32"/>
      <c r="K67" s="33" t="s">
        <v>83</v>
      </c>
      <c r="L67" s="34" t="s">
        <v>98</v>
      </c>
      <c r="M67" s="34" t="s">
        <v>99</v>
      </c>
      <c r="N67" s="34" t="s">
        <v>100</v>
      </c>
      <c r="O67" s="12"/>
      <c r="P67" s="12"/>
      <c r="Q67" s="12"/>
      <c r="R67" s="12"/>
      <c r="S67" s="12"/>
      <c r="T67" s="12"/>
      <c r="U67" s="27"/>
      <c r="V67" s="27"/>
      <c r="W67" s="12"/>
      <c r="X67" s="12"/>
      <c r="Y67" s="27"/>
      <c r="Z67" s="27"/>
      <c r="AA67" s="12"/>
      <c r="AB67" s="12"/>
      <c r="AC67" s="27"/>
      <c r="AD67" s="27"/>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row>
    <row r="68" spans="1:56" s="11" customFormat="1" ht="15.75" hidden="1">
      <c r="A68" s="35">
        <f t="shared" ref="A68:A83" si="0">IF($B$23&gt;=ROW()-ROW($A$30),ROW()-ROW($A$30),"")</f>
        <v>38</v>
      </c>
      <c r="B68" s="36"/>
      <c r="C68" s="36"/>
      <c r="D68" s="60"/>
      <c r="E68" s="30"/>
      <c r="F68" s="35">
        <f t="shared" ref="F68:F83" si="1">IF($B$23&gt;=ROW()-ROW($A$30),ROW()-ROW($A$30),"")</f>
        <v>38</v>
      </c>
      <c r="G68" s="36"/>
      <c r="H68" s="36"/>
      <c r="I68" s="36"/>
      <c r="J68" s="32"/>
      <c r="K68" s="35">
        <f t="shared" ref="K68:K83" si="2">IF($B$23&gt;=ROW()-ROW($A$30),ROW()-ROW($A$30),"")</f>
        <v>38</v>
      </c>
      <c r="L68" s="36"/>
      <c r="M68" s="36"/>
      <c r="N68" s="36"/>
      <c r="O68" s="12"/>
      <c r="P68" s="12"/>
      <c r="Q68" s="12"/>
      <c r="R68" s="12"/>
      <c r="S68" s="12"/>
      <c r="T68" s="12"/>
      <c r="U68" s="27"/>
      <c r="V68" s="27"/>
      <c r="W68" s="12"/>
      <c r="X68" s="12"/>
      <c r="Y68" s="27"/>
      <c r="Z68" s="27"/>
      <c r="AA68" s="12"/>
      <c r="AB68" s="12"/>
      <c r="AC68" s="27"/>
      <c r="AD68" s="27"/>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1" customFormat="1" ht="15.75" hidden="1">
      <c r="A69" s="35">
        <f t="shared" si="0"/>
        <v>39</v>
      </c>
      <c r="B69" s="233">
        <v>0</v>
      </c>
      <c r="C69" s="233">
        <v>0</v>
      </c>
      <c r="D69" s="234">
        <f t="shared" ref="D69:D83" si="3">B69-C69</f>
        <v>0</v>
      </c>
      <c r="E69" s="30"/>
      <c r="F69" s="35">
        <f t="shared" si="1"/>
        <v>39</v>
      </c>
      <c r="G69" s="233">
        <v>0</v>
      </c>
      <c r="H69" s="233">
        <v>0</v>
      </c>
      <c r="I69" s="233">
        <f t="shared" ref="I69:I83" si="4">G69-H69</f>
        <v>0</v>
      </c>
      <c r="J69" s="32"/>
      <c r="K69" s="35">
        <f t="shared" si="2"/>
        <v>39</v>
      </c>
      <c r="L69" s="233">
        <v>0</v>
      </c>
      <c r="M69" s="233">
        <v>0</v>
      </c>
      <c r="N69" s="233">
        <f t="shared" ref="N69:N83" si="5">L69-M69</f>
        <v>0</v>
      </c>
      <c r="O69" s="12"/>
      <c r="P69" s="12"/>
      <c r="Q69" s="12"/>
      <c r="R69" s="12"/>
      <c r="S69" s="12"/>
      <c r="T69" s="12"/>
      <c r="U69" s="27"/>
      <c r="V69" s="27"/>
      <c r="W69" s="12"/>
      <c r="X69" s="12"/>
      <c r="Y69" s="27"/>
      <c r="Z69" s="27"/>
      <c r="AA69" s="12"/>
      <c r="AB69" s="12"/>
      <c r="AC69" s="27"/>
      <c r="AD69" s="27"/>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row>
    <row r="70" spans="1:56" ht="15.75" hidden="1">
      <c r="A70" s="35">
        <f t="shared" si="0"/>
        <v>40</v>
      </c>
      <c r="B70" s="233">
        <v>0</v>
      </c>
      <c r="C70" s="233">
        <v>0</v>
      </c>
      <c r="D70" s="234">
        <f t="shared" si="3"/>
        <v>0</v>
      </c>
      <c r="E70" s="30"/>
      <c r="F70" s="35">
        <f t="shared" si="1"/>
        <v>40</v>
      </c>
      <c r="G70" s="233">
        <v>0</v>
      </c>
      <c r="H70" s="233">
        <v>0</v>
      </c>
      <c r="I70" s="233">
        <f t="shared" si="4"/>
        <v>0</v>
      </c>
      <c r="J70" s="32"/>
      <c r="K70" s="35">
        <f t="shared" si="2"/>
        <v>40</v>
      </c>
      <c r="L70" s="233">
        <v>0</v>
      </c>
      <c r="M70" s="233">
        <v>0</v>
      </c>
      <c r="N70" s="233">
        <f t="shared" si="5"/>
        <v>0</v>
      </c>
      <c r="P70" s="12"/>
      <c r="Q70" s="12"/>
      <c r="R70" s="12"/>
      <c r="S70" s="12"/>
      <c r="T70" s="12"/>
    </row>
    <row r="71" spans="1:56" ht="15.75" hidden="1">
      <c r="A71" s="35">
        <f t="shared" si="0"/>
        <v>41</v>
      </c>
      <c r="B71" s="233">
        <v>0</v>
      </c>
      <c r="C71" s="233">
        <v>0</v>
      </c>
      <c r="D71" s="234">
        <f t="shared" si="3"/>
        <v>0</v>
      </c>
      <c r="E71" s="30"/>
      <c r="F71" s="35">
        <f t="shared" si="1"/>
        <v>41</v>
      </c>
      <c r="G71" s="233">
        <v>0</v>
      </c>
      <c r="H71" s="233">
        <v>0</v>
      </c>
      <c r="I71" s="233">
        <f t="shared" si="4"/>
        <v>0</v>
      </c>
      <c r="J71" s="32"/>
      <c r="K71" s="35">
        <f t="shared" si="2"/>
        <v>41</v>
      </c>
      <c r="L71" s="233">
        <v>0</v>
      </c>
      <c r="M71" s="233">
        <v>0</v>
      </c>
      <c r="N71" s="233">
        <f t="shared" si="5"/>
        <v>0</v>
      </c>
    </row>
    <row r="72" spans="1:56" ht="15.75" hidden="1">
      <c r="A72" s="35">
        <f t="shared" si="0"/>
        <v>42</v>
      </c>
      <c r="B72" s="233">
        <v>0</v>
      </c>
      <c r="C72" s="233">
        <v>0</v>
      </c>
      <c r="D72" s="234">
        <f t="shared" si="3"/>
        <v>0</v>
      </c>
      <c r="E72" s="30"/>
      <c r="F72" s="35">
        <f t="shared" si="1"/>
        <v>42</v>
      </c>
      <c r="G72" s="233">
        <v>0</v>
      </c>
      <c r="H72" s="233">
        <v>0</v>
      </c>
      <c r="I72" s="233">
        <f t="shared" si="4"/>
        <v>0</v>
      </c>
      <c r="J72" s="32"/>
      <c r="K72" s="35">
        <f t="shared" si="2"/>
        <v>42</v>
      </c>
      <c r="L72" s="233">
        <v>0</v>
      </c>
      <c r="M72" s="233">
        <v>0</v>
      </c>
      <c r="N72" s="233">
        <f t="shared" si="5"/>
        <v>0</v>
      </c>
    </row>
    <row r="73" spans="1:56" ht="15.75" hidden="1">
      <c r="A73" s="35">
        <f t="shared" si="0"/>
        <v>43</v>
      </c>
      <c r="B73" s="233">
        <v>0</v>
      </c>
      <c r="C73" s="233">
        <v>0</v>
      </c>
      <c r="D73" s="234">
        <f t="shared" si="3"/>
        <v>0</v>
      </c>
      <c r="E73" s="30"/>
      <c r="F73" s="35">
        <f t="shared" si="1"/>
        <v>43</v>
      </c>
      <c r="G73" s="233">
        <v>0</v>
      </c>
      <c r="H73" s="233">
        <v>0</v>
      </c>
      <c r="I73" s="233">
        <f t="shared" si="4"/>
        <v>0</v>
      </c>
      <c r="J73" s="32"/>
      <c r="K73" s="35">
        <f t="shared" si="2"/>
        <v>43</v>
      </c>
      <c r="L73" s="233">
        <v>0</v>
      </c>
      <c r="M73" s="233">
        <v>0</v>
      </c>
      <c r="N73" s="233">
        <f t="shared" si="5"/>
        <v>0</v>
      </c>
    </row>
    <row r="74" spans="1:56" ht="15.75" hidden="1">
      <c r="A74" s="35">
        <f t="shared" si="0"/>
        <v>44</v>
      </c>
      <c r="B74" s="233">
        <v>0</v>
      </c>
      <c r="C74" s="233">
        <v>0</v>
      </c>
      <c r="D74" s="234">
        <f t="shared" si="3"/>
        <v>0</v>
      </c>
      <c r="E74" s="30"/>
      <c r="F74" s="35">
        <f t="shared" si="1"/>
        <v>44</v>
      </c>
      <c r="G74" s="233">
        <v>0</v>
      </c>
      <c r="H74" s="233">
        <v>0</v>
      </c>
      <c r="I74" s="233">
        <f t="shared" si="4"/>
        <v>0</v>
      </c>
      <c r="J74" s="32"/>
      <c r="K74" s="35">
        <f t="shared" si="2"/>
        <v>44</v>
      </c>
      <c r="L74" s="233">
        <v>0</v>
      </c>
      <c r="M74" s="233">
        <v>0</v>
      </c>
      <c r="N74" s="233">
        <f t="shared" si="5"/>
        <v>0</v>
      </c>
    </row>
    <row r="75" spans="1:56" ht="15.75" hidden="1">
      <c r="A75" s="35">
        <f t="shared" si="0"/>
        <v>45</v>
      </c>
      <c r="B75" s="233">
        <v>0</v>
      </c>
      <c r="C75" s="233">
        <v>0</v>
      </c>
      <c r="D75" s="234">
        <f t="shared" si="3"/>
        <v>0</v>
      </c>
      <c r="E75" s="30"/>
      <c r="F75" s="35">
        <f t="shared" si="1"/>
        <v>45</v>
      </c>
      <c r="G75" s="233">
        <v>0</v>
      </c>
      <c r="H75" s="233">
        <v>0</v>
      </c>
      <c r="I75" s="233">
        <f t="shared" si="4"/>
        <v>0</v>
      </c>
      <c r="J75" s="32"/>
      <c r="K75" s="35">
        <f t="shared" si="2"/>
        <v>45</v>
      </c>
      <c r="L75" s="233">
        <v>0</v>
      </c>
      <c r="M75" s="233">
        <v>0</v>
      </c>
      <c r="N75" s="233">
        <f t="shared" si="5"/>
        <v>0</v>
      </c>
    </row>
    <row r="76" spans="1:56" ht="15.75" hidden="1">
      <c r="A76" s="35">
        <f t="shared" si="0"/>
        <v>46</v>
      </c>
      <c r="B76" s="233">
        <v>0</v>
      </c>
      <c r="C76" s="233">
        <v>0</v>
      </c>
      <c r="D76" s="234">
        <f t="shared" si="3"/>
        <v>0</v>
      </c>
      <c r="E76" s="30"/>
      <c r="F76" s="35">
        <f t="shared" si="1"/>
        <v>46</v>
      </c>
      <c r="G76" s="233">
        <v>0</v>
      </c>
      <c r="H76" s="233">
        <v>0</v>
      </c>
      <c r="I76" s="233">
        <f t="shared" si="4"/>
        <v>0</v>
      </c>
      <c r="J76" s="32"/>
      <c r="K76" s="35">
        <f t="shared" si="2"/>
        <v>46</v>
      </c>
      <c r="L76" s="233">
        <v>0</v>
      </c>
      <c r="M76" s="233">
        <v>0</v>
      </c>
      <c r="N76" s="233">
        <f t="shared" si="5"/>
        <v>0</v>
      </c>
    </row>
    <row r="77" spans="1:56" ht="15.75" hidden="1">
      <c r="A77" s="35">
        <f t="shared" si="0"/>
        <v>47</v>
      </c>
      <c r="B77" s="233">
        <v>0</v>
      </c>
      <c r="C77" s="233">
        <v>0</v>
      </c>
      <c r="D77" s="234">
        <f t="shared" si="3"/>
        <v>0</v>
      </c>
      <c r="E77" s="30"/>
      <c r="F77" s="35">
        <f t="shared" si="1"/>
        <v>47</v>
      </c>
      <c r="G77" s="233">
        <v>0</v>
      </c>
      <c r="H77" s="233">
        <v>0</v>
      </c>
      <c r="I77" s="233">
        <f t="shared" si="4"/>
        <v>0</v>
      </c>
      <c r="J77" s="32"/>
      <c r="K77" s="35">
        <f t="shared" si="2"/>
        <v>47</v>
      </c>
      <c r="L77" s="233">
        <v>0</v>
      </c>
      <c r="M77" s="233">
        <v>0</v>
      </c>
      <c r="N77" s="233">
        <f t="shared" si="5"/>
        <v>0</v>
      </c>
    </row>
    <row r="78" spans="1:56" ht="15.75" hidden="1">
      <c r="A78" s="35">
        <f t="shared" si="0"/>
        <v>48</v>
      </c>
      <c r="B78" s="233">
        <v>0</v>
      </c>
      <c r="C78" s="233">
        <v>0</v>
      </c>
      <c r="D78" s="234">
        <f t="shared" si="3"/>
        <v>0</v>
      </c>
      <c r="E78" s="30"/>
      <c r="F78" s="35">
        <f t="shared" si="1"/>
        <v>48</v>
      </c>
      <c r="G78" s="233">
        <v>0</v>
      </c>
      <c r="H78" s="233">
        <v>0</v>
      </c>
      <c r="I78" s="233">
        <f t="shared" si="4"/>
        <v>0</v>
      </c>
      <c r="J78" s="32"/>
      <c r="K78" s="35">
        <f t="shared" si="2"/>
        <v>48</v>
      </c>
      <c r="L78" s="233">
        <v>0</v>
      </c>
      <c r="M78" s="233">
        <v>0</v>
      </c>
      <c r="N78" s="233">
        <f t="shared" si="5"/>
        <v>0</v>
      </c>
    </row>
    <row r="79" spans="1:56" ht="15.75" hidden="1">
      <c r="A79" s="35">
        <f t="shared" si="0"/>
        <v>49</v>
      </c>
      <c r="B79" s="233">
        <v>0</v>
      </c>
      <c r="C79" s="233">
        <v>0</v>
      </c>
      <c r="D79" s="234">
        <f t="shared" si="3"/>
        <v>0</v>
      </c>
      <c r="E79" s="30"/>
      <c r="F79" s="35">
        <f t="shared" si="1"/>
        <v>49</v>
      </c>
      <c r="G79" s="233">
        <v>0</v>
      </c>
      <c r="H79" s="233">
        <v>0</v>
      </c>
      <c r="I79" s="233">
        <f t="shared" si="4"/>
        <v>0</v>
      </c>
      <c r="J79" s="32"/>
      <c r="K79" s="35">
        <f t="shared" si="2"/>
        <v>49</v>
      </c>
      <c r="L79" s="233">
        <v>0</v>
      </c>
      <c r="M79" s="233">
        <v>0</v>
      </c>
      <c r="N79" s="233">
        <f t="shared" si="5"/>
        <v>0</v>
      </c>
    </row>
    <row r="80" spans="1:56" ht="15.75" hidden="1">
      <c r="A80" s="35">
        <f t="shared" si="0"/>
        <v>50</v>
      </c>
      <c r="B80" s="233">
        <v>0</v>
      </c>
      <c r="C80" s="233">
        <v>0</v>
      </c>
      <c r="D80" s="234">
        <f t="shared" si="3"/>
        <v>0</v>
      </c>
      <c r="E80" s="30"/>
      <c r="F80" s="35">
        <f t="shared" si="1"/>
        <v>50</v>
      </c>
      <c r="G80" s="233">
        <v>0</v>
      </c>
      <c r="H80" s="233">
        <v>0</v>
      </c>
      <c r="I80" s="233">
        <f t="shared" si="4"/>
        <v>0</v>
      </c>
      <c r="J80" s="32"/>
      <c r="K80" s="35">
        <f t="shared" si="2"/>
        <v>50</v>
      </c>
      <c r="L80" s="233">
        <v>0</v>
      </c>
      <c r="M80" s="233">
        <v>0</v>
      </c>
      <c r="N80" s="233">
        <f t="shared" si="5"/>
        <v>0</v>
      </c>
    </row>
    <row r="81" spans="1:98" ht="15.75" hidden="1">
      <c r="A81" s="35">
        <f t="shared" si="0"/>
        <v>51</v>
      </c>
      <c r="B81" s="233">
        <v>0</v>
      </c>
      <c r="C81" s="233">
        <v>0</v>
      </c>
      <c r="D81" s="234">
        <f t="shared" si="3"/>
        <v>0</v>
      </c>
      <c r="E81" s="30"/>
      <c r="F81" s="35">
        <f t="shared" si="1"/>
        <v>51</v>
      </c>
      <c r="G81" s="233">
        <v>0</v>
      </c>
      <c r="H81" s="233">
        <v>0</v>
      </c>
      <c r="I81" s="233">
        <f t="shared" si="4"/>
        <v>0</v>
      </c>
      <c r="J81" s="32"/>
      <c r="K81" s="35">
        <f t="shared" si="2"/>
        <v>51</v>
      </c>
      <c r="L81" s="233">
        <v>0</v>
      </c>
      <c r="M81" s="233">
        <v>0</v>
      </c>
      <c r="N81" s="233">
        <f t="shared" si="5"/>
        <v>0</v>
      </c>
    </row>
    <row r="82" spans="1:98" ht="15.75" hidden="1">
      <c r="A82" s="35">
        <f t="shared" si="0"/>
        <v>52</v>
      </c>
      <c r="B82" s="233">
        <v>0</v>
      </c>
      <c r="C82" s="233">
        <v>0</v>
      </c>
      <c r="D82" s="234">
        <f t="shared" si="3"/>
        <v>0</v>
      </c>
      <c r="E82" s="30"/>
      <c r="F82" s="35">
        <f t="shared" si="1"/>
        <v>52</v>
      </c>
      <c r="G82" s="233">
        <v>0</v>
      </c>
      <c r="H82" s="233">
        <v>0</v>
      </c>
      <c r="I82" s="233">
        <f t="shared" si="4"/>
        <v>0</v>
      </c>
      <c r="J82" s="32"/>
      <c r="K82" s="35">
        <f t="shared" si="2"/>
        <v>52</v>
      </c>
      <c r="L82" s="233">
        <v>0</v>
      </c>
      <c r="M82" s="233">
        <v>0</v>
      </c>
      <c r="N82" s="233">
        <f t="shared" si="5"/>
        <v>0</v>
      </c>
    </row>
    <row r="83" spans="1:98" ht="15.75" hidden="1">
      <c r="A83" s="35">
        <f t="shared" si="0"/>
        <v>53</v>
      </c>
      <c r="B83" s="233">
        <v>0</v>
      </c>
      <c r="C83" s="233">
        <v>0</v>
      </c>
      <c r="D83" s="234">
        <f t="shared" si="3"/>
        <v>0</v>
      </c>
      <c r="E83" s="30"/>
      <c r="F83" s="35">
        <f t="shared" si="1"/>
        <v>53</v>
      </c>
      <c r="G83" s="233">
        <v>0</v>
      </c>
      <c r="H83" s="233">
        <v>0</v>
      </c>
      <c r="I83" s="233">
        <f t="shared" si="4"/>
        <v>0</v>
      </c>
      <c r="J83" s="32"/>
      <c r="K83" s="35">
        <f t="shared" si="2"/>
        <v>53</v>
      </c>
      <c r="L83" s="233">
        <v>0</v>
      </c>
      <c r="M83" s="233">
        <v>0</v>
      </c>
      <c r="N83" s="233">
        <f t="shared" si="5"/>
        <v>0</v>
      </c>
    </row>
    <row r="84" spans="1:98" hidden="1"/>
    <row r="85" spans="1:98" ht="15.75" hidden="1" thickBot="1">
      <c r="A85" s="13" t="s">
        <v>67</v>
      </c>
      <c r="B85" s="28"/>
      <c r="C85" s="14" t="s">
        <v>68</v>
      </c>
      <c r="D85" s="61" t="s">
        <v>88</v>
      </c>
      <c r="E85" s="28"/>
    </row>
    <row r="86" spans="1:98" ht="14.25" hidden="1">
      <c r="A86" s="15" t="s">
        <v>69</v>
      </c>
      <c r="B86" s="235">
        <v>0</v>
      </c>
      <c r="C86" s="16">
        <v>0</v>
      </c>
      <c r="D86" s="62" t="s">
        <v>89</v>
      </c>
      <c r="E86" s="235">
        <v>0</v>
      </c>
    </row>
    <row r="87" spans="1:98" ht="15" hidden="1">
      <c r="A87" s="17" t="s">
        <v>70</v>
      </c>
      <c r="B87" s="236">
        <v>0</v>
      </c>
      <c r="C87" s="18"/>
      <c r="D87" s="63" t="s">
        <v>90</v>
      </c>
      <c r="E87" s="236">
        <v>0</v>
      </c>
    </row>
    <row r="88" spans="1:98" ht="15.75" hidden="1" thickBot="1">
      <c r="A88" s="19" t="s">
        <v>71</v>
      </c>
      <c r="B88" s="29">
        <f>B86*B87</f>
        <v>0</v>
      </c>
      <c r="C88" s="20"/>
      <c r="D88" s="64" t="s">
        <v>91</v>
      </c>
      <c r="E88" s="29">
        <f>E86*E87</f>
        <v>0</v>
      </c>
    </row>
    <row r="89" spans="1:98" ht="14.25" hidden="1">
      <c r="A89" s="15" t="s">
        <v>72</v>
      </c>
      <c r="B89" s="235">
        <v>0</v>
      </c>
      <c r="C89" s="21">
        <v>0</v>
      </c>
      <c r="D89" s="62" t="s">
        <v>89</v>
      </c>
      <c r="E89" s="235">
        <v>0</v>
      </c>
      <c r="CN89" s="149">
        <v>0</v>
      </c>
      <c r="CO89" s="149">
        <v>49157</v>
      </c>
      <c r="CP89" s="149">
        <v>491.57</v>
      </c>
      <c r="CQ89" s="149">
        <v>4.1725227636908343E-309</v>
      </c>
      <c r="CR89" s="149">
        <v>0</v>
      </c>
      <c r="CS89" s="149">
        <v>49158</v>
      </c>
      <c r="CT89" s="149">
        <v>4.1726925233541115E-309</v>
      </c>
    </row>
    <row r="90" spans="1:98" ht="14.25" hidden="1">
      <c r="A90" s="17" t="s">
        <v>73</v>
      </c>
      <c r="B90" s="236">
        <v>0</v>
      </c>
      <c r="C90" s="22"/>
      <c r="D90" s="63" t="s">
        <v>90</v>
      </c>
      <c r="E90" s="236">
        <v>0</v>
      </c>
      <c r="CN90" s="149">
        <v>0</v>
      </c>
      <c r="CO90" s="149">
        <v>49157</v>
      </c>
      <c r="CP90" s="149">
        <v>491.57</v>
      </c>
      <c r="CQ90" s="149">
        <v>4.1725227636908343E-309</v>
      </c>
      <c r="CR90" s="149">
        <v>0</v>
      </c>
      <c r="CS90" s="149">
        <v>49158</v>
      </c>
      <c r="CT90" s="149">
        <v>4.1726925233541115E-309</v>
      </c>
    </row>
    <row r="91" spans="1:98" ht="15.75" hidden="1" thickBot="1">
      <c r="A91" s="19" t="s">
        <v>74</v>
      </c>
      <c r="B91" s="29">
        <f>B89*B90</f>
        <v>0</v>
      </c>
      <c r="C91" s="20"/>
      <c r="D91" s="64" t="s">
        <v>91</v>
      </c>
      <c r="E91" s="29">
        <f>E89*E90</f>
        <v>0</v>
      </c>
      <c r="CN91" s="149">
        <v>0</v>
      </c>
      <c r="CO91" s="149">
        <v>49157</v>
      </c>
      <c r="CP91" s="149">
        <v>491.57</v>
      </c>
      <c r="CQ91" s="149">
        <v>4.1725227636908343E-309</v>
      </c>
      <c r="CR91" s="149">
        <v>0</v>
      </c>
      <c r="CS91" s="149">
        <v>49158</v>
      </c>
      <c r="CT91" s="149">
        <v>4.1726925233541115E-309</v>
      </c>
    </row>
    <row r="92" spans="1:98" ht="14.25" hidden="1">
      <c r="A92" s="15" t="s">
        <v>75</v>
      </c>
      <c r="B92" s="235">
        <v>0</v>
      </c>
      <c r="C92" s="21">
        <v>0</v>
      </c>
      <c r="D92" s="62" t="s">
        <v>89</v>
      </c>
      <c r="E92" s="235">
        <v>0</v>
      </c>
      <c r="CN92" s="149">
        <v>0</v>
      </c>
      <c r="CO92" s="149">
        <v>49157</v>
      </c>
      <c r="CP92" s="149">
        <v>491.57</v>
      </c>
      <c r="CQ92" s="149">
        <v>4.1725227636908343E-309</v>
      </c>
      <c r="CR92" s="149">
        <v>0</v>
      </c>
      <c r="CS92" s="149">
        <v>49158</v>
      </c>
      <c r="CT92" s="149">
        <v>4.1726925233541115E-309</v>
      </c>
    </row>
    <row r="93" spans="1:98" ht="14.25" hidden="1">
      <c r="A93" s="17" t="s">
        <v>76</v>
      </c>
      <c r="B93" s="236">
        <v>0</v>
      </c>
      <c r="C93" s="22"/>
      <c r="D93" s="63" t="s">
        <v>90</v>
      </c>
      <c r="E93" s="236">
        <v>0</v>
      </c>
      <c r="CN93" s="149">
        <v>0</v>
      </c>
      <c r="CO93" s="149">
        <v>49157</v>
      </c>
      <c r="CP93" s="149">
        <v>491.57</v>
      </c>
      <c r="CQ93" s="149">
        <v>4.1725227636908343E-309</v>
      </c>
      <c r="CR93" s="149">
        <v>0</v>
      </c>
      <c r="CS93" s="149">
        <v>49158</v>
      </c>
      <c r="CT93" s="149">
        <v>4.1726925233541115E-309</v>
      </c>
    </row>
    <row r="94" spans="1:98" ht="15.75" hidden="1" thickBot="1">
      <c r="A94" s="19" t="s">
        <v>77</v>
      </c>
      <c r="B94" s="29">
        <f>B92*B93</f>
        <v>0</v>
      </c>
      <c r="C94" s="20"/>
      <c r="D94" s="64" t="s">
        <v>91</v>
      </c>
      <c r="E94" s="29">
        <f>E92*E93</f>
        <v>0</v>
      </c>
      <c r="CN94" s="149">
        <v>0</v>
      </c>
      <c r="CO94" s="149">
        <v>49157</v>
      </c>
      <c r="CP94" s="149">
        <v>491.57</v>
      </c>
      <c r="CQ94" s="149">
        <v>4.1725227636908343E-309</v>
      </c>
      <c r="CR94" s="149">
        <v>0</v>
      </c>
      <c r="CS94" s="149">
        <v>49158</v>
      </c>
      <c r="CT94" s="149">
        <v>4.1726925233541115E-309</v>
      </c>
    </row>
    <row r="95" spans="1:98" ht="14.25" hidden="1">
      <c r="A95" s="15" t="s">
        <v>78</v>
      </c>
      <c r="B95" s="235">
        <v>0</v>
      </c>
      <c r="C95" s="21">
        <v>0</v>
      </c>
      <c r="D95" s="62" t="s">
        <v>89</v>
      </c>
      <c r="E95" s="235">
        <v>0</v>
      </c>
      <c r="CN95" s="149">
        <v>0</v>
      </c>
      <c r="CO95" s="149">
        <v>49157</v>
      </c>
      <c r="CP95" s="149">
        <v>491.57</v>
      </c>
      <c r="CQ95" s="149">
        <v>4.1725227636908343E-309</v>
      </c>
      <c r="CR95" s="149">
        <v>0</v>
      </c>
      <c r="CS95" s="149">
        <v>49158</v>
      </c>
      <c r="CT95" s="149">
        <v>4.1726925233541115E-309</v>
      </c>
    </row>
    <row r="96" spans="1:98" ht="14.25" hidden="1">
      <c r="A96" s="17" t="s">
        <v>79</v>
      </c>
      <c r="B96" s="236">
        <v>0</v>
      </c>
      <c r="C96" s="22"/>
      <c r="D96" s="63" t="s">
        <v>90</v>
      </c>
      <c r="E96" s="236">
        <v>0</v>
      </c>
      <c r="CN96" s="149">
        <v>0</v>
      </c>
      <c r="CO96" s="149">
        <v>49157</v>
      </c>
      <c r="CP96" s="149">
        <v>491.57</v>
      </c>
      <c r="CQ96" s="149">
        <v>4.1725227636908343E-309</v>
      </c>
      <c r="CR96" s="149">
        <v>0</v>
      </c>
      <c r="CS96" s="149">
        <v>49158</v>
      </c>
      <c r="CT96" s="149">
        <v>4.1726925233541115E-309</v>
      </c>
    </row>
    <row r="97" spans="1:98" ht="15.75" hidden="1" thickBot="1">
      <c r="A97" s="23" t="s">
        <v>80</v>
      </c>
      <c r="B97" s="29">
        <f>B95*B96</f>
        <v>0</v>
      </c>
      <c r="C97" s="24"/>
      <c r="D97" s="64" t="s">
        <v>91</v>
      </c>
      <c r="E97" s="29">
        <f>E95*E96</f>
        <v>0</v>
      </c>
      <c r="CN97" s="149">
        <v>0</v>
      </c>
      <c r="CO97" s="149">
        <v>49157</v>
      </c>
      <c r="CP97" s="149">
        <v>491.57</v>
      </c>
      <c r="CQ97" s="149">
        <v>4.1725227636908343E-309</v>
      </c>
      <c r="CR97" s="149">
        <v>0</v>
      </c>
      <c r="CS97" s="149">
        <v>49158</v>
      </c>
      <c r="CT97" s="149">
        <v>4.1726925233541115E-309</v>
      </c>
    </row>
    <row r="98" spans="1:98" hidden="1"/>
    <row r="99" spans="1:98" hidden="1"/>
    <row r="100" spans="1:98" hidden="1">
      <c r="A100" s="251" t="s">
        <v>237</v>
      </c>
    </row>
    <row r="101" spans="1:98" ht="13.5" thickBot="1">
      <c r="B101" s="238"/>
      <c r="C101" s="237"/>
    </row>
    <row r="102" spans="1:98">
      <c r="A102" s="301" t="s">
        <v>29</v>
      </c>
      <c r="B102" s="356" t="s">
        <v>26</v>
      </c>
      <c r="C102" s="356" t="s">
        <v>201</v>
      </c>
      <c r="D102" s="302" t="s">
        <v>202</v>
      </c>
      <c r="E102" s="333" t="s">
        <v>289</v>
      </c>
    </row>
    <row r="103" spans="1:98">
      <c r="A103" s="303" t="s">
        <v>380</v>
      </c>
      <c r="B103" s="280" t="s">
        <v>256</v>
      </c>
      <c r="C103" s="280" t="s">
        <v>232</v>
      </c>
      <c r="D103" s="280" t="s">
        <v>381</v>
      </c>
      <c r="E103" s="372" t="s">
        <v>243</v>
      </c>
    </row>
    <row r="104" spans="1:98">
      <c r="A104" s="304" t="s">
        <v>367</v>
      </c>
      <c r="B104" s="271" t="s">
        <v>257</v>
      </c>
      <c r="C104" s="271" t="s">
        <v>374</v>
      </c>
      <c r="D104" s="271" t="s">
        <v>382</v>
      </c>
      <c r="E104" s="425" t="s">
        <v>243</v>
      </c>
    </row>
    <row r="105" spans="1:98">
      <c r="A105" s="307" t="s">
        <v>279</v>
      </c>
      <c r="B105" s="280" t="s">
        <v>257</v>
      </c>
      <c r="C105" s="280" t="s">
        <v>280</v>
      </c>
      <c r="D105" s="280" t="s">
        <v>281</v>
      </c>
      <c r="E105" s="326" t="s">
        <v>243</v>
      </c>
    </row>
    <row r="106" spans="1:98">
      <c r="A106" s="303" t="s">
        <v>377</v>
      </c>
      <c r="B106" s="280" t="s">
        <v>256</v>
      </c>
      <c r="C106" s="280" t="s">
        <v>234</v>
      </c>
      <c r="D106" s="280" t="s">
        <v>378</v>
      </c>
      <c r="E106" s="372" t="s">
        <v>384</v>
      </c>
    </row>
    <row r="107" spans="1:98">
      <c r="A107" s="348" t="s">
        <v>246</v>
      </c>
      <c r="B107" s="271" t="s">
        <v>256</v>
      </c>
      <c r="C107" s="280" t="s">
        <v>233</v>
      </c>
      <c r="D107" s="280" t="s">
        <v>375</v>
      </c>
      <c r="E107" s="326" t="s">
        <v>243</v>
      </c>
    </row>
    <row r="108" spans="1:98">
      <c r="A108" s="303" t="s">
        <v>244</v>
      </c>
      <c r="B108" s="280" t="s">
        <v>347</v>
      </c>
      <c r="C108" s="280" t="s">
        <v>216</v>
      </c>
      <c r="D108" s="280" t="s">
        <v>215</v>
      </c>
      <c r="E108" s="326"/>
    </row>
    <row r="109" spans="1:98">
      <c r="A109" s="348" t="s">
        <v>226</v>
      </c>
      <c r="B109" s="271" t="s">
        <v>292</v>
      </c>
      <c r="C109" s="271" t="s">
        <v>214</v>
      </c>
      <c r="D109" s="271" t="s">
        <v>213</v>
      </c>
      <c r="E109" s="372" t="s">
        <v>243</v>
      </c>
    </row>
    <row r="110" spans="1:98">
      <c r="A110" s="348" t="s">
        <v>290</v>
      </c>
      <c r="B110" s="271" t="s">
        <v>292</v>
      </c>
      <c r="C110" s="271" t="s">
        <v>296</v>
      </c>
      <c r="D110" s="271" t="s">
        <v>293</v>
      </c>
      <c r="E110" s="372" t="s">
        <v>242</v>
      </c>
    </row>
    <row r="111" spans="1:98">
      <c r="A111" s="348" t="s">
        <v>245</v>
      </c>
      <c r="B111" s="271" t="s">
        <v>292</v>
      </c>
      <c r="C111" s="271" t="s">
        <v>296</v>
      </c>
      <c r="D111" s="271" t="s">
        <v>227</v>
      </c>
      <c r="E111" s="326" t="s">
        <v>243</v>
      </c>
    </row>
    <row r="112" spans="1:98">
      <c r="A112" s="348" t="s">
        <v>291</v>
      </c>
      <c r="B112" s="280" t="s">
        <v>292</v>
      </c>
      <c r="C112" s="280" t="s">
        <v>296</v>
      </c>
      <c r="D112" s="280" t="s">
        <v>294</v>
      </c>
      <c r="E112" s="326" t="s">
        <v>242</v>
      </c>
    </row>
    <row r="113" spans="1:5">
      <c r="A113" s="307" t="s">
        <v>346</v>
      </c>
      <c r="B113" s="271" t="s">
        <v>347</v>
      </c>
      <c r="C113" s="271" t="s">
        <v>303</v>
      </c>
      <c r="D113" s="280" t="s">
        <v>304</v>
      </c>
      <c r="E113" s="326" t="s">
        <v>295</v>
      </c>
    </row>
    <row r="114" spans="1:5">
      <c r="A114" s="307" t="s">
        <v>247</v>
      </c>
      <c r="B114" s="271" t="s">
        <v>356</v>
      </c>
      <c r="C114" s="271" t="s">
        <v>234</v>
      </c>
      <c r="D114" s="280" t="s">
        <v>235</v>
      </c>
      <c r="E114" s="372" t="s">
        <v>379</v>
      </c>
    </row>
    <row r="115" spans="1:5">
      <c r="A115" s="307" t="s">
        <v>351</v>
      </c>
      <c r="B115" s="271" t="s">
        <v>356</v>
      </c>
      <c r="C115" s="271" t="s">
        <v>358</v>
      </c>
      <c r="D115" s="280" t="s">
        <v>361</v>
      </c>
      <c r="E115" s="326"/>
    </row>
    <row r="116" spans="1:5">
      <c r="A116" s="307" t="s">
        <v>352</v>
      </c>
      <c r="B116" s="271" t="s">
        <v>376</v>
      </c>
      <c r="C116" s="271" t="s">
        <v>359</v>
      </c>
      <c r="D116" s="280" t="s">
        <v>357</v>
      </c>
      <c r="E116" s="326"/>
    </row>
    <row r="117" spans="1:5">
      <c r="A117" s="307" t="s">
        <v>353</v>
      </c>
      <c r="B117" s="271" t="s">
        <v>356</v>
      </c>
      <c r="C117" s="271" t="s">
        <v>360</v>
      </c>
      <c r="D117" s="280" t="s">
        <v>362</v>
      </c>
      <c r="E117" s="326"/>
    </row>
    <row r="118" spans="1:5" ht="13.5" thickBot="1">
      <c r="A118" s="323" t="s">
        <v>354</v>
      </c>
      <c r="B118" s="305" t="s">
        <v>383</v>
      </c>
      <c r="C118" s="305" t="s">
        <v>355</v>
      </c>
      <c r="D118" s="305" t="s">
        <v>363</v>
      </c>
      <c r="E118" s="332"/>
    </row>
    <row r="120" spans="1:5">
      <c r="A120" s="3"/>
      <c r="B120" s="212"/>
    </row>
    <row r="121" spans="1:5" ht="13.5" thickBot="1">
      <c r="A121" s="300"/>
    </row>
    <row r="122" spans="1:5">
      <c r="A122" s="358" t="s">
        <v>265</v>
      </c>
    </row>
    <row r="123" spans="1:5">
      <c r="A123" s="359" t="s">
        <v>262</v>
      </c>
    </row>
    <row r="124" spans="1:5">
      <c r="A124" s="359" t="s">
        <v>263</v>
      </c>
    </row>
    <row r="125" spans="1:5">
      <c r="A125" s="359" t="s">
        <v>264</v>
      </c>
    </row>
    <row r="126" spans="1:5" ht="13.5" thickBot="1">
      <c r="A126" s="360" t="s">
        <v>300</v>
      </c>
    </row>
    <row r="129" spans="1:4" ht="13.5" thickBot="1"/>
    <row r="130" spans="1:4">
      <c r="A130" s="382" t="s">
        <v>305</v>
      </c>
      <c r="B130" s="382" t="s">
        <v>306</v>
      </c>
    </row>
    <row r="131" spans="1:4">
      <c r="A131" s="383" t="s">
        <v>307</v>
      </c>
      <c r="B131" s="383" t="s">
        <v>308</v>
      </c>
    </row>
    <row r="132" spans="1:4">
      <c r="A132" s="383" t="s">
        <v>309</v>
      </c>
      <c r="B132" s="383" t="s">
        <v>308</v>
      </c>
    </row>
    <row r="133" spans="1:4">
      <c r="A133" s="383" t="s">
        <v>310</v>
      </c>
      <c r="B133" s="383" t="s">
        <v>308</v>
      </c>
      <c r="C133" s="149"/>
      <c r="D133" s="149"/>
    </row>
    <row r="134" spans="1:4">
      <c r="A134" s="383" t="s">
        <v>311</v>
      </c>
      <c r="B134" s="383" t="s">
        <v>312</v>
      </c>
      <c r="C134" s="149"/>
      <c r="D134" s="149"/>
    </row>
    <row r="135" spans="1:4">
      <c r="A135" s="383" t="s">
        <v>313</v>
      </c>
      <c r="B135" s="383" t="s">
        <v>314</v>
      </c>
      <c r="C135" s="149"/>
      <c r="D135" s="149"/>
    </row>
    <row r="136" spans="1:4">
      <c r="A136" s="383" t="s">
        <v>315</v>
      </c>
      <c r="B136" s="383" t="s">
        <v>316</v>
      </c>
      <c r="C136" s="149"/>
      <c r="D136" s="149"/>
    </row>
    <row r="137" spans="1:4">
      <c r="A137" s="383" t="s">
        <v>317</v>
      </c>
      <c r="B137" s="383" t="s">
        <v>317</v>
      </c>
      <c r="C137" s="149"/>
      <c r="D137" s="149"/>
    </row>
    <row r="138" spans="1:4">
      <c r="A138" s="383" t="s">
        <v>318</v>
      </c>
      <c r="B138" s="383" t="s">
        <v>318</v>
      </c>
      <c r="C138" s="149"/>
      <c r="D138" s="149"/>
    </row>
    <row r="139" spans="1:4">
      <c r="A139" s="383" t="s">
        <v>319</v>
      </c>
      <c r="B139" s="383" t="s">
        <v>319</v>
      </c>
      <c r="C139" s="149"/>
      <c r="D139" s="149"/>
    </row>
    <row r="140" spans="1:4">
      <c r="A140" s="383" t="s">
        <v>320</v>
      </c>
      <c r="B140" s="383" t="s">
        <v>320</v>
      </c>
      <c r="C140" s="149"/>
      <c r="D140" s="149"/>
    </row>
    <row r="141" spans="1:4">
      <c r="A141" s="383" t="s">
        <v>343</v>
      </c>
      <c r="B141" s="383" t="s">
        <v>316</v>
      </c>
      <c r="C141" s="149"/>
      <c r="D141" s="149"/>
    </row>
    <row r="142" spans="1:4" ht="13.5" thickBot="1">
      <c r="A142" s="384" t="s">
        <v>344</v>
      </c>
      <c r="B142" s="384" t="s">
        <v>345</v>
      </c>
      <c r="C142" s="149"/>
      <c r="D142" s="149"/>
    </row>
    <row r="145" spans="1:3" ht="13.5" thickBot="1"/>
    <row r="146" spans="1:3">
      <c r="A146" s="382" t="s">
        <v>323</v>
      </c>
      <c r="B146" s="382" t="s">
        <v>324</v>
      </c>
      <c r="C146" s="382" t="s">
        <v>325</v>
      </c>
    </row>
    <row r="147" spans="1:3">
      <c r="A147" s="383" t="s">
        <v>326</v>
      </c>
      <c r="B147" s="383" t="s">
        <v>341</v>
      </c>
      <c r="C147" s="383">
        <v>2014</v>
      </c>
    </row>
    <row r="148" spans="1:3">
      <c r="A148" s="383" t="s">
        <v>327</v>
      </c>
      <c r="B148" s="383" t="s">
        <v>341</v>
      </c>
      <c r="C148" s="383">
        <v>2014</v>
      </c>
    </row>
    <row r="149" spans="1:3">
      <c r="A149" s="383" t="s">
        <v>328</v>
      </c>
      <c r="B149" s="383" t="s">
        <v>341</v>
      </c>
      <c r="C149" s="383">
        <v>2013</v>
      </c>
    </row>
    <row r="150" spans="1:3">
      <c r="A150" s="383" t="s">
        <v>329</v>
      </c>
      <c r="B150" s="383" t="s">
        <v>341</v>
      </c>
      <c r="C150" s="383">
        <v>2013</v>
      </c>
    </row>
    <row r="151" spans="1:3">
      <c r="A151" s="383" t="s">
        <v>330</v>
      </c>
      <c r="B151" s="383" t="s">
        <v>341</v>
      </c>
      <c r="C151" s="383">
        <v>2013</v>
      </c>
    </row>
    <row r="152" spans="1:3">
      <c r="A152" s="383" t="s">
        <v>331</v>
      </c>
      <c r="B152" s="383" t="s">
        <v>341</v>
      </c>
      <c r="C152" s="383">
        <v>2013</v>
      </c>
    </row>
    <row r="153" spans="1:3">
      <c r="A153" s="383" t="s">
        <v>332</v>
      </c>
      <c r="B153" s="383" t="s">
        <v>341</v>
      </c>
      <c r="C153" s="383">
        <v>2013</v>
      </c>
    </row>
    <row r="154" spans="1:3">
      <c r="A154" s="383" t="s">
        <v>333</v>
      </c>
      <c r="B154" s="383" t="s">
        <v>341</v>
      </c>
      <c r="C154" s="383">
        <v>2013</v>
      </c>
    </row>
    <row r="155" spans="1:3">
      <c r="A155" s="383" t="s">
        <v>334</v>
      </c>
      <c r="B155" s="383" t="s">
        <v>341</v>
      </c>
      <c r="C155" s="383">
        <v>2013</v>
      </c>
    </row>
    <row r="156" spans="1:3">
      <c r="A156" s="383" t="s">
        <v>335</v>
      </c>
      <c r="B156" s="383" t="s">
        <v>341</v>
      </c>
      <c r="C156" s="383">
        <v>2013</v>
      </c>
    </row>
    <row r="157" spans="1:3">
      <c r="A157" s="383" t="s">
        <v>336</v>
      </c>
      <c r="B157" s="383" t="s">
        <v>341</v>
      </c>
      <c r="C157" s="383">
        <v>2013</v>
      </c>
    </row>
    <row r="158" spans="1:3">
      <c r="A158" s="383" t="s">
        <v>337</v>
      </c>
      <c r="B158" s="383" t="s">
        <v>341</v>
      </c>
      <c r="C158" s="383">
        <v>2013</v>
      </c>
    </row>
    <row r="159" spans="1:3">
      <c r="A159" s="383" t="s">
        <v>300</v>
      </c>
      <c r="B159" s="383" t="s">
        <v>300</v>
      </c>
      <c r="C159" s="383">
        <v>2014</v>
      </c>
    </row>
    <row r="160" spans="1:3">
      <c r="A160" s="383" t="s">
        <v>338</v>
      </c>
      <c r="B160" s="383" t="s">
        <v>300</v>
      </c>
      <c r="C160" s="383">
        <v>2013</v>
      </c>
    </row>
    <row r="161" spans="1:3">
      <c r="A161" s="383" t="s">
        <v>300</v>
      </c>
      <c r="B161" s="383" t="s">
        <v>300</v>
      </c>
      <c r="C161" s="383">
        <v>2013</v>
      </c>
    </row>
    <row r="162" spans="1:3">
      <c r="A162" s="383" t="s">
        <v>339</v>
      </c>
      <c r="B162" s="383" t="s">
        <v>300</v>
      </c>
      <c r="C162" s="383">
        <v>2013</v>
      </c>
    </row>
    <row r="163" spans="1:3">
      <c r="A163" s="383" t="s">
        <v>340</v>
      </c>
      <c r="B163" s="383" t="s">
        <v>342</v>
      </c>
      <c r="C163" s="383">
        <v>2014</v>
      </c>
    </row>
    <row r="164" spans="1:3" ht="13.5" thickBot="1">
      <c r="A164" s="384" t="s">
        <v>350</v>
      </c>
      <c r="B164" s="384" t="s">
        <v>342</v>
      </c>
      <c r="C164" s="384">
        <v>2014</v>
      </c>
    </row>
  </sheetData>
  <sheetProtection formatCells="0"/>
  <mergeCells count="8">
    <mergeCell ref="A22:A37"/>
    <mergeCell ref="A13:A21"/>
    <mergeCell ref="A66:D66"/>
    <mergeCell ref="F66:I66"/>
    <mergeCell ref="K66:N66"/>
    <mergeCell ref="A46:A50"/>
    <mergeCell ref="A52:A58"/>
    <mergeCell ref="A38:A45"/>
  </mergeCells>
  <phoneticPr fontId="7" type="noConversion"/>
  <pageMargins left="0.7" right="0.7" top="0.75" bottom="0.75" header="0.3" footer="0.3"/>
  <pageSetup scale="4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F51"/>
  <sheetViews>
    <sheetView workbookViewId="0"/>
  </sheetViews>
  <sheetFormatPr defaultRowHeight="12.75"/>
  <cols>
    <col min="1" max="1" width="30.7109375" bestFit="1" customWidth="1"/>
    <col min="2" max="2" width="10.140625" bestFit="1" customWidth="1"/>
    <col min="4" max="4" width="3" hidden="1" customWidth="1"/>
    <col min="5" max="5" width="9.140625" customWidth="1"/>
    <col min="6" max="6" width="30.140625" customWidth="1"/>
  </cols>
  <sheetData>
    <row r="1" spans="1:6" ht="13.5" thickBot="1"/>
    <row r="2" spans="1:6" ht="13.5" thickBot="1">
      <c r="A2" s="554" t="s">
        <v>268</v>
      </c>
      <c r="B2" s="555"/>
      <c r="E2" s="554" t="s">
        <v>275</v>
      </c>
      <c r="F2" s="555"/>
    </row>
    <row r="3" spans="1:6" ht="13.5" thickBot="1">
      <c r="A3" s="361" t="s">
        <v>269</v>
      </c>
      <c r="B3" s="366" t="e">
        <f>ann_totcost_savings</f>
        <v>#REF!</v>
      </c>
      <c r="E3" s="369" t="s">
        <v>83</v>
      </c>
      <c r="F3" s="370" t="s">
        <v>276</v>
      </c>
    </row>
    <row r="4" spans="1:6">
      <c r="A4" s="362" t="s">
        <v>270</v>
      </c>
      <c r="B4" s="371">
        <f>disc_rate_ene</f>
        <v>6.8099999999999994E-2</v>
      </c>
      <c r="D4" s="363">
        <v>0</v>
      </c>
      <c r="E4" s="367" t="e">
        <f>IF($D4&gt;$B$6-1,"",$D4)</f>
        <v>#REF!</v>
      </c>
      <c r="F4" s="368" t="e">
        <f>IF($E4="","",$B$3*POWER(1+$B$5,$E4)/POWER(1+$B$4,$E4))</f>
        <v>#REF!</v>
      </c>
    </row>
    <row r="5" spans="1:6">
      <c r="A5" s="362" t="s">
        <v>271</v>
      </c>
      <c r="B5" s="371">
        <f>infl_rate</f>
        <v>0.02</v>
      </c>
      <c r="D5" s="363">
        <v>1</v>
      </c>
      <c r="E5" s="367" t="e">
        <f t="shared" ref="E5:E51" si="0">IF($D5&gt;$B$6-1,"",$D5)</f>
        <v>#REF!</v>
      </c>
      <c r="F5" s="368" t="e">
        <f t="shared" ref="F5:F51" si="1">IF($E5="","",$B$3*POWER(1+$B$5,$E5)/POWER(1+$B$4,$E5))</f>
        <v>#REF!</v>
      </c>
    </row>
    <row r="6" spans="1:6">
      <c r="A6" s="362" t="s">
        <v>272</v>
      </c>
      <c r="B6" s="365" t="e">
        <f>ROUND(avg_measure_life,0)</f>
        <v>#REF!</v>
      </c>
      <c r="D6" s="363">
        <v>2</v>
      </c>
      <c r="E6" s="367" t="e">
        <f t="shared" si="0"/>
        <v>#REF!</v>
      </c>
      <c r="F6" s="368" t="e">
        <f t="shared" si="1"/>
        <v>#REF!</v>
      </c>
    </row>
    <row r="7" spans="1:6">
      <c r="A7" s="362" t="s">
        <v>273</v>
      </c>
      <c r="B7" s="364" t="e">
        <f>project_cost</f>
        <v>#REF!</v>
      </c>
      <c r="D7" s="363">
        <v>3</v>
      </c>
      <c r="E7" s="367" t="e">
        <f t="shared" si="0"/>
        <v>#REF!</v>
      </c>
      <c r="F7" s="368" t="e">
        <f t="shared" si="1"/>
        <v>#REF!</v>
      </c>
    </row>
    <row r="8" spans="1:6">
      <c r="A8" s="362" t="s">
        <v>274</v>
      </c>
      <c r="B8" s="364" t="e">
        <f>SUM(F4:F51)-project_cost</f>
        <v>#REF!</v>
      </c>
      <c r="D8" s="363">
        <v>4</v>
      </c>
      <c r="E8" s="367" t="e">
        <f t="shared" si="0"/>
        <v>#REF!</v>
      </c>
      <c r="F8" s="368" t="e">
        <f t="shared" si="1"/>
        <v>#REF!</v>
      </c>
    </row>
    <row r="9" spans="1:6">
      <c r="D9" s="363">
        <v>5</v>
      </c>
      <c r="E9" s="367" t="e">
        <f t="shared" si="0"/>
        <v>#REF!</v>
      </c>
      <c r="F9" s="368" t="e">
        <f t="shared" si="1"/>
        <v>#REF!</v>
      </c>
    </row>
    <row r="10" spans="1:6">
      <c r="D10" s="363">
        <v>6</v>
      </c>
      <c r="E10" s="367" t="e">
        <f t="shared" si="0"/>
        <v>#REF!</v>
      </c>
      <c r="F10" s="368" t="e">
        <f t="shared" si="1"/>
        <v>#REF!</v>
      </c>
    </row>
    <row r="11" spans="1:6">
      <c r="D11" s="363">
        <v>7</v>
      </c>
      <c r="E11" s="367" t="e">
        <f t="shared" si="0"/>
        <v>#REF!</v>
      </c>
      <c r="F11" s="368" t="e">
        <f t="shared" si="1"/>
        <v>#REF!</v>
      </c>
    </row>
    <row r="12" spans="1:6">
      <c r="D12" s="363">
        <v>8</v>
      </c>
      <c r="E12" s="367" t="e">
        <f t="shared" si="0"/>
        <v>#REF!</v>
      </c>
      <c r="F12" s="368" t="e">
        <f t="shared" si="1"/>
        <v>#REF!</v>
      </c>
    </row>
    <row r="13" spans="1:6">
      <c r="D13" s="363">
        <v>9</v>
      </c>
      <c r="E13" s="367" t="e">
        <f t="shared" si="0"/>
        <v>#REF!</v>
      </c>
      <c r="F13" s="368" t="e">
        <f t="shared" si="1"/>
        <v>#REF!</v>
      </c>
    </row>
    <row r="14" spans="1:6">
      <c r="D14" s="363">
        <v>10</v>
      </c>
      <c r="E14" s="367" t="e">
        <f t="shared" si="0"/>
        <v>#REF!</v>
      </c>
      <c r="F14" s="368" t="e">
        <f t="shared" si="1"/>
        <v>#REF!</v>
      </c>
    </row>
    <row r="15" spans="1:6">
      <c r="D15" s="363">
        <v>11</v>
      </c>
      <c r="E15" s="367" t="e">
        <f t="shared" si="0"/>
        <v>#REF!</v>
      </c>
      <c r="F15" s="368" t="e">
        <f t="shared" si="1"/>
        <v>#REF!</v>
      </c>
    </row>
    <row r="16" spans="1:6">
      <c r="D16" s="363">
        <v>12</v>
      </c>
      <c r="E16" s="367" t="e">
        <f t="shared" si="0"/>
        <v>#REF!</v>
      </c>
      <c r="F16" s="368" t="e">
        <f t="shared" si="1"/>
        <v>#REF!</v>
      </c>
    </row>
    <row r="17" spans="4:6">
      <c r="D17" s="363">
        <v>13</v>
      </c>
      <c r="E17" s="367" t="e">
        <f t="shared" si="0"/>
        <v>#REF!</v>
      </c>
      <c r="F17" s="368" t="e">
        <f t="shared" si="1"/>
        <v>#REF!</v>
      </c>
    </row>
    <row r="18" spans="4:6">
      <c r="D18" s="363">
        <v>14</v>
      </c>
      <c r="E18" s="367" t="e">
        <f t="shared" si="0"/>
        <v>#REF!</v>
      </c>
      <c r="F18" s="368" t="e">
        <f t="shared" si="1"/>
        <v>#REF!</v>
      </c>
    </row>
    <row r="19" spans="4:6">
      <c r="D19" s="363">
        <v>15</v>
      </c>
      <c r="E19" s="367" t="e">
        <f t="shared" si="0"/>
        <v>#REF!</v>
      </c>
      <c r="F19" s="368" t="e">
        <f t="shared" si="1"/>
        <v>#REF!</v>
      </c>
    </row>
    <row r="20" spans="4:6">
      <c r="D20" s="363">
        <v>16</v>
      </c>
      <c r="E20" s="367" t="e">
        <f t="shared" si="0"/>
        <v>#REF!</v>
      </c>
      <c r="F20" s="368" t="e">
        <f t="shared" si="1"/>
        <v>#REF!</v>
      </c>
    </row>
    <row r="21" spans="4:6">
      <c r="D21" s="363">
        <v>17</v>
      </c>
      <c r="E21" s="367" t="e">
        <f t="shared" si="0"/>
        <v>#REF!</v>
      </c>
      <c r="F21" s="368" t="e">
        <f t="shared" si="1"/>
        <v>#REF!</v>
      </c>
    </row>
    <row r="22" spans="4:6">
      <c r="D22" s="363">
        <v>18</v>
      </c>
      <c r="E22" s="367" t="e">
        <f t="shared" si="0"/>
        <v>#REF!</v>
      </c>
      <c r="F22" s="368" t="e">
        <f t="shared" si="1"/>
        <v>#REF!</v>
      </c>
    </row>
    <row r="23" spans="4:6">
      <c r="D23" s="363">
        <v>19</v>
      </c>
      <c r="E23" s="367" t="e">
        <f t="shared" si="0"/>
        <v>#REF!</v>
      </c>
      <c r="F23" s="368" t="e">
        <f t="shared" si="1"/>
        <v>#REF!</v>
      </c>
    </row>
    <row r="24" spans="4:6">
      <c r="D24" s="363">
        <v>20</v>
      </c>
      <c r="E24" s="367" t="e">
        <f t="shared" si="0"/>
        <v>#REF!</v>
      </c>
      <c r="F24" s="368" t="e">
        <f t="shared" si="1"/>
        <v>#REF!</v>
      </c>
    </row>
    <row r="25" spans="4:6">
      <c r="D25" s="363">
        <v>21</v>
      </c>
      <c r="E25" s="367" t="e">
        <f t="shared" si="0"/>
        <v>#REF!</v>
      </c>
      <c r="F25" s="368" t="e">
        <f t="shared" si="1"/>
        <v>#REF!</v>
      </c>
    </row>
    <row r="26" spans="4:6">
      <c r="D26" s="363">
        <v>22</v>
      </c>
      <c r="E26" s="367" t="e">
        <f t="shared" si="0"/>
        <v>#REF!</v>
      </c>
      <c r="F26" s="368" t="e">
        <f t="shared" si="1"/>
        <v>#REF!</v>
      </c>
    </row>
    <row r="27" spans="4:6">
      <c r="D27" s="363">
        <v>23</v>
      </c>
      <c r="E27" s="367" t="e">
        <f t="shared" si="0"/>
        <v>#REF!</v>
      </c>
      <c r="F27" s="368" t="e">
        <f t="shared" si="1"/>
        <v>#REF!</v>
      </c>
    </row>
    <row r="28" spans="4:6">
      <c r="D28" s="363">
        <v>24</v>
      </c>
      <c r="E28" s="367" t="e">
        <f t="shared" si="0"/>
        <v>#REF!</v>
      </c>
      <c r="F28" s="368" t="e">
        <f t="shared" si="1"/>
        <v>#REF!</v>
      </c>
    </row>
    <row r="29" spans="4:6">
      <c r="D29" s="363">
        <v>25</v>
      </c>
      <c r="E29" s="367" t="e">
        <f t="shared" si="0"/>
        <v>#REF!</v>
      </c>
      <c r="F29" s="368" t="e">
        <f t="shared" si="1"/>
        <v>#REF!</v>
      </c>
    </row>
    <row r="30" spans="4:6">
      <c r="D30" s="363">
        <v>26</v>
      </c>
      <c r="E30" s="367" t="e">
        <f t="shared" si="0"/>
        <v>#REF!</v>
      </c>
      <c r="F30" s="368" t="e">
        <f t="shared" si="1"/>
        <v>#REF!</v>
      </c>
    </row>
    <row r="31" spans="4:6">
      <c r="D31" s="363">
        <v>27</v>
      </c>
      <c r="E31" s="367" t="e">
        <f t="shared" si="0"/>
        <v>#REF!</v>
      </c>
      <c r="F31" s="368" t="e">
        <f t="shared" si="1"/>
        <v>#REF!</v>
      </c>
    </row>
    <row r="32" spans="4:6">
      <c r="D32" s="363">
        <v>28</v>
      </c>
      <c r="E32" s="367" t="e">
        <f t="shared" si="0"/>
        <v>#REF!</v>
      </c>
      <c r="F32" s="368" t="e">
        <f t="shared" si="1"/>
        <v>#REF!</v>
      </c>
    </row>
    <row r="33" spans="4:6">
      <c r="D33" s="363">
        <v>29</v>
      </c>
      <c r="E33" s="367" t="e">
        <f t="shared" si="0"/>
        <v>#REF!</v>
      </c>
      <c r="F33" s="368" t="e">
        <f t="shared" si="1"/>
        <v>#REF!</v>
      </c>
    </row>
    <row r="34" spans="4:6">
      <c r="D34" s="363">
        <v>30</v>
      </c>
      <c r="E34" s="367" t="e">
        <f t="shared" si="0"/>
        <v>#REF!</v>
      </c>
      <c r="F34" s="368" t="e">
        <f t="shared" si="1"/>
        <v>#REF!</v>
      </c>
    </row>
    <row r="35" spans="4:6">
      <c r="D35" s="363">
        <v>31</v>
      </c>
      <c r="E35" s="367" t="e">
        <f t="shared" si="0"/>
        <v>#REF!</v>
      </c>
      <c r="F35" s="368" t="e">
        <f t="shared" si="1"/>
        <v>#REF!</v>
      </c>
    </row>
    <row r="36" spans="4:6">
      <c r="D36" s="363">
        <v>32</v>
      </c>
      <c r="E36" s="367" t="e">
        <f t="shared" si="0"/>
        <v>#REF!</v>
      </c>
      <c r="F36" s="368" t="e">
        <f t="shared" si="1"/>
        <v>#REF!</v>
      </c>
    </row>
    <row r="37" spans="4:6">
      <c r="D37" s="363">
        <v>33</v>
      </c>
      <c r="E37" s="367" t="e">
        <f t="shared" si="0"/>
        <v>#REF!</v>
      </c>
      <c r="F37" s="368" t="e">
        <f t="shared" si="1"/>
        <v>#REF!</v>
      </c>
    </row>
    <row r="38" spans="4:6">
      <c r="D38" s="363">
        <v>34</v>
      </c>
      <c r="E38" s="367" t="e">
        <f t="shared" si="0"/>
        <v>#REF!</v>
      </c>
      <c r="F38" s="368" t="e">
        <f t="shared" si="1"/>
        <v>#REF!</v>
      </c>
    </row>
    <row r="39" spans="4:6">
      <c r="D39" s="363">
        <v>35</v>
      </c>
      <c r="E39" s="367" t="e">
        <f t="shared" si="0"/>
        <v>#REF!</v>
      </c>
      <c r="F39" s="368" t="e">
        <f t="shared" si="1"/>
        <v>#REF!</v>
      </c>
    </row>
    <row r="40" spans="4:6">
      <c r="D40" s="363">
        <v>36</v>
      </c>
      <c r="E40" s="367" t="e">
        <f t="shared" si="0"/>
        <v>#REF!</v>
      </c>
      <c r="F40" s="368" t="e">
        <f t="shared" si="1"/>
        <v>#REF!</v>
      </c>
    </row>
    <row r="41" spans="4:6">
      <c r="D41" s="363">
        <v>37</v>
      </c>
      <c r="E41" s="367" t="e">
        <f t="shared" si="0"/>
        <v>#REF!</v>
      </c>
      <c r="F41" s="368" t="e">
        <f t="shared" si="1"/>
        <v>#REF!</v>
      </c>
    </row>
    <row r="42" spans="4:6">
      <c r="D42" s="363">
        <v>38</v>
      </c>
      <c r="E42" s="367" t="e">
        <f t="shared" si="0"/>
        <v>#REF!</v>
      </c>
      <c r="F42" s="368" t="e">
        <f t="shared" si="1"/>
        <v>#REF!</v>
      </c>
    </row>
    <row r="43" spans="4:6">
      <c r="D43" s="363">
        <v>39</v>
      </c>
      <c r="E43" s="367" t="e">
        <f t="shared" si="0"/>
        <v>#REF!</v>
      </c>
      <c r="F43" s="368" t="e">
        <f t="shared" si="1"/>
        <v>#REF!</v>
      </c>
    </row>
    <row r="44" spans="4:6">
      <c r="D44" s="363">
        <v>40</v>
      </c>
      <c r="E44" s="367" t="e">
        <f t="shared" si="0"/>
        <v>#REF!</v>
      </c>
      <c r="F44" s="368" t="e">
        <f t="shared" si="1"/>
        <v>#REF!</v>
      </c>
    </row>
    <row r="45" spans="4:6">
      <c r="D45" s="363">
        <v>41</v>
      </c>
      <c r="E45" s="367" t="e">
        <f t="shared" si="0"/>
        <v>#REF!</v>
      </c>
      <c r="F45" s="368" t="e">
        <f t="shared" si="1"/>
        <v>#REF!</v>
      </c>
    </row>
    <row r="46" spans="4:6">
      <c r="D46" s="363">
        <v>42</v>
      </c>
      <c r="E46" s="367" t="e">
        <f t="shared" si="0"/>
        <v>#REF!</v>
      </c>
      <c r="F46" s="368" t="e">
        <f t="shared" si="1"/>
        <v>#REF!</v>
      </c>
    </row>
    <row r="47" spans="4:6">
      <c r="D47" s="363">
        <v>43</v>
      </c>
      <c r="E47" s="367" t="e">
        <f t="shared" si="0"/>
        <v>#REF!</v>
      </c>
      <c r="F47" s="368" t="e">
        <f t="shared" si="1"/>
        <v>#REF!</v>
      </c>
    </row>
    <row r="48" spans="4:6">
      <c r="D48" s="363">
        <v>44</v>
      </c>
      <c r="E48" s="367" t="e">
        <f t="shared" si="0"/>
        <v>#REF!</v>
      </c>
      <c r="F48" s="368" t="e">
        <f t="shared" si="1"/>
        <v>#REF!</v>
      </c>
    </row>
    <row r="49" spans="4:6">
      <c r="D49" s="363">
        <v>45</v>
      </c>
      <c r="E49" s="367" t="e">
        <f t="shared" si="0"/>
        <v>#REF!</v>
      </c>
      <c r="F49" s="368" t="e">
        <f t="shared" si="1"/>
        <v>#REF!</v>
      </c>
    </row>
    <row r="50" spans="4:6">
      <c r="D50" s="363">
        <v>46</v>
      </c>
      <c r="E50" s="367" t="e">
        <f t="shared" si="0"/>
        <v>#REF!</v>
      </c>
      <c r="F50" s="368" t="e">
        <f t="shared" si="1"/>
        <v>#REF!</v>
      </c>
    </row>
    <row r="51" spans="4:6">
      <c r="D51" s="363">
        <v>47</v>
      </c>
      <c r="E51" s="367" t="e">
        <f t="shared" si="0"/>
        <v>#REF!</v>
      </c>
      <c r="F51" s="368" t="e">
        <f t="shared" si="1"/>
        <v>#REF!</v>
      </c>
    </row>
  </sheetData>
  <mergeCells count="2">
    <mergeCell ref="A2:B2"/>
    <mergeCell ref="E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FF"/>
    <pageSetUpPr fitToPage="1"/>
  </sheetPr>
  <dimension ref="A1:U178"/>
  <sheetViews>
    <sheetView showGridLines="0" tabSelected="1" view="pageLayout" topLeftCell="A44" zoomScale="91" zoomScaleNormal="90" zoomScaleSheetLayoutView="100" zoomScalePageLayoutView="91" workbookViewId="0">
      <selection activeCell="M55" sqref="M55"/>
    </sheetView>
  </sheetViews>
  <sheetFormatPr defaultColWidth="0" defaultRowHeight="15" customHeight="1"/>
  <cols>
    <col min="1" max="1" width="6.28515625" customWidth="1"/>
    <col min="2" max="2" width="5.7109375" customWidth="1"/>
    <col min="3" max="3" width="13.7109375" customWidth="1"/>
    <col min="4" max="4" width="5.28515625" customWidth="1"/>
    <col min="5" max="5" width="2.42578125" customWidth="1"/>
    <col min="6" max="6" width="11.42578125" customWidth="1"/>
    <col min="7" max="7" width="30.5703125" customWidth="1"/>
    <col min="8" max="8" width="14.7109375" customWidth="1"/>
    <col min="9" max="9" width="15.85546875" customWidth="1"/>
    <col min="10" max="10" width="21.7109375" customWidth="1"/>
    <col min="11" max="11" width="18" customWidth="1"/>
    <col min="12" max="12" width="21.140625" customWidth="1"/>
    <col min="13" max="13" width="12" customWidth="1"/>
    <col min="14" max="14" width="10.5703125" customWidth="1"/>
    <col min="15" max="15" width="1.28515625" customWidth="1"/>
  </cols>
  <sheetData>
    <row r="1" spans="1:15" ht="45.75" customHeight="1">
      <c r="A1" s="474" t="s">
        <v>416</v>
      </c>
      <c r="B1" s="429"/>
      <c r="C1" s="430"/>
      <c r="D1" s="430"/>
      <c r="E1" s="431"/>
      <c r="F1" s="430"/>
      <c r="G1" s="430"/>
      <c r="H1" s="430"/>
      <c r="I1" s="432"/>
      <c r="J1" s="430"/>
      <c r="K1" s="430"/>
      <c r="L1" s="430"/>
      <c r="M1" s="430"/>
      <c r="N1" s="430"/>
      <c r="O1" s="432"/>
    </row>
    <row r="2" spans="1:15" ht="28.5" customHeight="1">
      <c r="A2" s="466" t="s">
        <v>419</v>
      </c>
      <c r="B2" s="429"/>
      <c r="C2" s="430"/>
      <c r="D2" s="430"/>
      <c r="E2" s="431"/>
      <c r="F2" s="430"/>
      <c r="G2" s="430"/>
      <c r="H2" s="430"/>
      <c r="I2" s="432"/>
      <c r="J2" s="430"/>
      <c r="K2" s="430"/>
      <c r="L2" s="430"/>
      <c r="M2" s="430"/>
      <c r="N2" s="430"/>
      <c r="O2" s="432"/>
    </row>
    <row r="3" spans="1:15" ht="9" customHeight="1" thickBot="1">
      <c r="A3" s="433" t="s">
        <v>39</v>
      </c>
      <c r="B3" s="434"/>
      <c r="C3" s="434"/>
      <c r="D3" s="434"/>
      <c r="E3" s="434"/>
      <c r="F3" s="434"/>
      <c r="G3" s="434"/>
      <c r="H3" s="434"/>
      <c r="I3" s="435"/>
      <c r="J3" s="434"/>
      <c r="K3" s="434"/>
      <c r="L3" s="434"/>
      <c r="M3" s="434"/>
      <c r="N3" s="434"/>
      <c r="O3" s="436"/>
    </row>
    <row r="4" spans="1:15" ht="9" customHeight="1" thickTop="1">
      <c r="A4" s="505"/>
      <c r="B4" s="506"/>
      <c r="C4" s="506"/>
      <c r="D4" s="506"/>
      <c r="E4" s="506"/>
      <c r="F4" s="506"/>
      <c r="G4" s="506"/>
      <c r="H4" s="506"/>
      <c r="I4" s="507"/>
      <c r="J4" s="506"/>
      <c r="K4" s="506"/>
      <c r="L4" s="506"/>
      <c r="M4" s="506"/>
      <c r="N4" s="506"/>
      <c r="O4" s="432"/>
    </row>
    <row r="5" spans="1:15" ht="9" customHeight="1">
      <c r="A5" s="505"/>
      <c r="B5" s="506"/>
      <c r="C5" s="506"/>
      <c r="D5" s="506"/>
      <c r="E5" s="506"/>
      <c r="F5" s="506"/>
      <c r="G5" s="506"/>
      <c r="H5" s="506"/>
      <c r="I5" s="507"/>
      <c r="J5" s="506"/>
      <c r="K5" s="506"/>
      <c r="L5" s="506"/>
      <c r="M5" s="506"/>
      <c r="N5" s="506"/>
      <c r="O5" s="432"/>
    </row>
    <row r="6" spans="1:15" ht="13.5" customHeight="1">
      <c r="A6" s="437"/>
      <c r="B6" s="438"/>
      <c r="C6" s="438"/>
      <c r="D6" s="438"/>
      <c r="E6" s="438"/>
      <c r="F6" s="438"/>
      <c r="G6" s="438"/>
      <c r="H6" s="438"/>
      <c r="I6" s="439"/>
      <c r="J6" s="438"/>
      <c r="K6" s="438"/>
      <c r="L6" s="438"/>
      <c r="M6" s="438"/>
      <c r="N6" s="438"/>
      <c r="O6" s="440"/>
    </row>
    <row r="7" spans="1:15" ht="17.25" customHeight="1">
      <c r="A7" s="463" t="s">
        <v>57</v>
      </c>
      <c r="B7" s="438"/>
      <c r="C7" s="438"/>
      <c r="D7" s="438"/>
      <c r="E7" s="438"/>
      <c r="F7" s="438"/>
      <c r="G7" s="438"/>
      <c r="H7" s="438"/>
      <c r="I7" s="439"/>
      <c r="J7" s="438"/>
      <c r="K7" s="438"/>
      <c r="L7" s="438"/>
      <c r="M7" s="438"/>
      <c r="N7" s="438"/>
      <c r="O7" s="440"/>
    </row>
    <row r="8" spans="1:15" ht="12.75" customHeight="1">
      <c r="A8" s="442"/>
      <c r="B8" s="438"/>
      <c r="C8" s="438"/>
      <c r="D8" s="438"/>
      <c r="E8" s="438"/>
      <c r="F8" s="438"/>
      <c r="G8" s="438"/>
      <c r="H8" s="438"/>
      <c r="I8" s="439"/>
      <c r="J8" s="438"/>
      <c r="K8" s="438"/>
      <c r="L8" s="438"/>
      <c r="M8" s="438"/>
      <c r="N8" s="438"/>
      <c r="O8" s="440"/>
    </row>
    <row r="9" spans="1:15" ht="37.5" customHeight="1">
      <c r="A9" s="582" t="s">
        <v>417</v>
      </c>
      <c r="B9" s="582"/>
      <c r="C9" s="582"/>
      <c r="D9" s="582"/>
      <c r="E9" s="582"/>
      <c r="F9" s="582"/>
      <c r="G9" s="582"/>
      <c r="H9" s="582"/>
      <c r="I9" s="582"/>
      <c r="J9" s="582"/>
      <c r="K9" s="582"/>
      <c r="L9" s="582"/>
      <c r="M9" s="582"/>
      <c r="N9" s="582"/>
      <c r="O9" s="582"/>
    </row>
    <row r="10" spans="1:15" ht="7.5" customHeight="1">
      <c r="A10" s="485"/>
      <c r="B10" s="485"/>
      <c r="C10" s="485"/>
      <c r="D10" s="485"/>
      <c r="E10" s="485"/>
      <c r="F10" s="485"/>
      <c r="G10" s="485"/>
      <c r="H10" s="485"/>
      <c r="I10" s="485"/>
      <c r="J10" s="485"/>
      <c r="K10" s="485"/>
      <c r="L10" s="485"/>
      <c r="M10" s="485"/>
      <c r="N10" s="485"/>
      <c r="O10" s="486"/>
    </row>
    <row r="11" spans="1:15" ht="33" customHeight="1">
      <c r="A11" s="487"/>
      <c r="B11" s="583" t="s">
        <v>391</v>
      </c>
      <c r="C11" s="583"/>
      <c r="D11" s="583"/>
      <c r="E11" s="583"/>
      <c r="F11" s="583"/>
      <c r="G11" s="583"/>
      <c r="H11" s="583"/>
      <c r="I11" s="583"/>
      <c r="J11" s="583"/>
      <c r="K11" s="583"/>
      <c r="L11" s="583"/>
      <c r="M11" s="583"/>
      <c r="N11" s="583"/>
      <c r="O11" s="583"/>
    </row>
    <row r="12" spans="1:15" ht="12.75" customHeight="1">
      <c r="A12" s="485"/>
      <c r="B12" s="485"/>
      <c r="C12" s="485"/>
      <c r="D12" s="485"/>
      <c r="E12" s="485"/>
      <c r="F12" s="485"/>
      <c r="G12" s="485"/>
      <c r="H12" s="485"/>
      <c r="I12" s="485"/>
      <c r="J12" s="485"/>
      <c r="K12" s="485"/>
      <c r="L12" s="485"/>
      <c r="M12" s="485"/>
      <c r="N12" s="485"/>
      <c r="O12" s="485"/>
    </row>
    <row r="13" spans="1:15" ht="46.5" customHeight="1">
      <c r="A13" s="582" t="s">
        <v>418</v>
      </c>
      <c r="B13" s="582"/>
      <c r="C13" s="582"/>
      <c r="D13" s="582"/>
      <c r="E13" s="582"/>
      <c r="F13" s="582"/>
      <c r="G13" s="582"/>
      <c r="H13" s="582"/>
      <c r="I13" s="582"/>
      <c r="J13" s="582"/>
      <c r="K13" s="582"/>
      <c r="L13" s="582"/>
      <c r="M13" s="582"/>
      <c r="N13" s="582"/>
      <c r="O13" s="582"/>
    </row>
    <row r="14" spans="1:15" ht="15.75">
      <c r="A14" s="485"/>
      <c r="B14" s="485"/>
      <c r="C14" s="485"/>
      <c r="D14" s="485"/>
      <c r="E14" s="485"/>
      <c r="F14" s="485"/>
      <c r="G14" s="485"/>
      <c r="H14" s="485"/>
      <c r="I14" s="485"/>
      <c r="J14" s="485"/>
      <c r="K14" s="485"/>
      <c r="L14" s="485"/>
      <c r="M14" s="485"/>
      <c r="N14" s="485"/>
      <c r="O14" s="485"/>
    </row>
    <row r="15" spans="1:15" ht="15.75">
      <c r="A15" s="582" t="s">
        <v>403</v>
      </c>
      <c r="B15" s="582"/>
      <c r="C15" s="582"/>
      <c r="D15" s="582"/>
      <c r="E15" s="582"/>
      <c r="F15" s="582"/>
      <c r="G15" s="582"/>
      <c r="H15" s="582"/>
      <c r="I15" s="582"/>
      <c r="J15" s="582"/>
      <c r="K15" s="582"/>
      <c r="L15" s="582"/>
      <c r="M15" s="582"/>
      <c r="N15" s="582"/>
      <c r="O15" s="582"/>
    </row>
    <row r="16" spans="1:15" ht="15.75">
      <c r="A16" s="485"/>
      <c r="B16" s="485"/>
      <c r="C16" s="485"/>
      <c r="D16" s="485"/>
      <c r="E16" s="485"/>
      <c r="F16" s="485"/>
      <c r="G16" s="485"/>
      <c r="H16" s="485"/>
      <c r="I16" s="485"/>
      <c r="J16" s="485"/>
      <c r="K16" s="485"/>
      <c r="L16" s="485"/>
      <c r="M16" s="485"/>
      <c r="N16" s="485"/>
      <c r="O16" s="485"/>
    </row>
    <row r="17" spans="1:21" ht="8.25" customHeight="1">
      <c r="A17" s="485"/>
      <c r="B17" s="485"/>
      <c r="C17" s="485"/>
      <c r="D17" s="485"/>
      <c r="E17" s="485"/>
      <c r="F17" s="485"/>
      <c r="G17" s="485"/>
      <c r="H17" s="485"/>
      <c r="I17" s="485"/>
      <c r="J17" s="485"/>
      <c r="K17" s="485"/>
      <c r="L17" s="485"/>
      <c r="M17" s="485"/>
      <c r="N17" s="485"/>
      <c r="O17" s="485"/>
    </row>
    <row r="18" spans="1:21" ht="81" customHeight="1">
      <c r="A18" s="487"/>
      <c r="B18" s="561" t="s">
        <v>420</v>
      </c>
      <c r="C18" s="561"/>
      <c r="D18" s="561"/>
      <c r="E18" s="561"/>
      <c r="F18" s="561"/>
      <c r="G18" s="561"/>
      <c r="H18" s="562" t="s">
        <v>421</v>
      </c>
      <c r="I18" s="562"/>
      <c r="J18" s="562"/>
      <c r="K18" s="562" t="s">
        <v>422</v>
      </c>
      <c r="L18" s="562"/>
      <c r="M18" s="562"/>
      <c r="N18" s="488"/>
      <c r="O18" s="485"/>
    </row>
    <row r="19" spans="1:21" ht="15.75" customHeight="1">
      <c r="A19" s="487"/>
      <c r="B19" s="489"/>
      <c r="C19" s="489"/>
      <c r="D19" s="489"/>
      <c r="E19" s="489"/>
      <c r="F19" s="489"/>
      <c r="G19" s="489"/>
      <c r="H19" s="488"/>
      <c r="I19" s="488"/>
      <c r="J19" s="488"/>
      <c r="K19" s="488"/>
      <c r="L19" s="488"/>
      <c r="M19" s="488"/>
      <c r="N19" s="488"/>
      <c r="O19" s="485"/>
    </row>
    <row r="20" spans="1:21" ht="15.75" customHeight="1">
      <c r="A20" s="487"/>
      <c r="B20" s="489"/>
      <c r="C20" s="489"/>
      <c r="D20" s="489"/>
      <c r="E20" s="489"/>
      <c r="F20" s="489"/>
      <c r="G20" s="489"/>
      <c r="H20" s="488"/>
      <c r="I20" s="488"/>
      <c r="J20" s="488"/>
      <c r="K20" s="488"/>
      <c r="L20" s="488"/>
      <c r="M20" s="488"/>
      <c r="N20" s="488"/>
      <c r="O20" s="485"/>
    </row>
    <row r="21" spans="1:21" ht="15.75" customHeight="1">
      <c r="A21" s="487"/>
      <c r="B21" s="489"/>
      <c r="C21" s="489"/>
      <c r="D21" s="489"/>
      <c r="E21" s="489"/>
      <c r="F21" s="489"/>
      <c r="G21" s="489"/>
      <c r="H21" s="488"/>
      <c r="I21" s="488"/>
      <c r="J21" s="488"/>
      <c r="K21" s="488"/>
      <c r="L21" s="488"/>
      <c r="M21" s="488"/>
      <c r="N21" s="488"/>
      <c r="O21" s="485"/>
    </row>
    <row r="22" spans="1:21" ht="11.25" customHeight="1">
      <c r="A22" s="440"/>
      <c r="B22" s="444"/>
      <c r="C22" s="445"/>
      <c r="D22" s="445"/>
      <c r="E22" s="445"/>
      <c r="F22" s="445"/>
      <c r="G22" s="445"/>
      <c r="H22" s="446"/>
      <c r="I22" s="446"/>
      <c r="J22" s="446"/>
      <c r="K22" s="446"/>
      <c r="L22" s="446"/>
      <c r="M22" s="446"/>
      <c r="N22" s="446"/>
      <c r="O22" s="443"/>
    </row>
    <row r="23" spans="1:21" ht="17.25" customHeight="1">
      <c r="A23" s="463" t="s">
        <v>404</v>
      </c>
      <c r="B23" s="445"/>
      <c r="C23" s="445"/>
      <c r="D23" s="445"/>
      <c r="E23" s="445"/>
      <c r="F23" s="445"/>
      <c r="G23" s="445"/>
      <c r="H23" s="446"/>
      <c r="I23" s="446"/>
      <c r="J23" s="446"/>
      <c r="K23" s="446"/>
      <c r="L23" s="446"/>
      <c r="M23" s="446"/>
      <c r="N23" s="446"/>
      <c r="O23" s="443"/>
    </row>
    <row r="24" spans="1:21" ht="12.75" customHeight="1">
      <c r="A24" s="441"/>
      <c r="B24" s="445"/>
      <c r="C24" s="445"/>
      <c r="D24" s="445"/>
      <c r="E24" s="445"/>
      <c r="F24" s="445"/>
      <c r="G24" s="445"/>
      <c r="H24" s="446"/>
      <c r="I24" s="446"/>
      <c r="J24" s="446"/>
      <c r="K24" s="446"/>
      <c r="L24" s="446"/>
      <c r="M24" s="446"/>
      <c r="N24" s="446"/>
      <c r="O24" s="443"/>
    </row>
    <row r="25" spans="1:21" ht="15.75">
      <c r="A25" s="561" t="s">
        <v>409</v>
      </c>
      <c r="B25" s="561"/>
      <c r="C25" s="561"/>
      <c r="D25" s="561"/>
      <c r="E25" s="561"/>
      <c r="F25" s="561"/>
      <c r="G25" s="561"/>
      <c r="H25" s="561"/>
      <c r="I25" s="561"/>
      <c r="J25" s="561"/>
      <c r="K25" s="561"/>
      <c r="L25" s="561"/>
      <c r="M25" s="561"/>
      <c r="N25" s="561"/>
      <c r="O25" s="561"/>
    </row>
    <row r="26" spans="1:21" ht="12.75" customHeight="1">
      <c r="A26" s="490"/>
      <c r="B26" s="489"/>
      <c r="C26" s="489"/>
      <c r="D26" s="489"/>
      <c r="E26" s="489"/>
      <c r="F26" s="489"/>
      <c r="G26" s="489"/>
      <c r="H26" s="488"/>
      <c r="I26" s="488"/>
      <c r="J26" s="488"/>
      <c r="K26" s="488"/>
      <c r="L26" s="488"/>
      <c r="M26" s="488"/>
      <c r="N26" s="488"/>
      <c r="O26" s="485"/>
    </row>
    <row r="27" spans="1:21" ht="42" customHeight="1">
      <c r="A27" s="564" t="s">
        <v>408</v>
      </c>
      <c r="B27" s="565"/>
      <c r="C27" s="565"/>
      <c r="D27" s="565"/>
      <c r="E27" s="565"/>
      <c r="F27" s="565"/>
      <c r="G27" s="566"/>
      <c r="H27" s="567"/>
      <c r="I27" s="568"/>
      <c r="J27" s="568"/>
      <c r="K27" s="568"/>
      <c r="L27" s="568"/>
      <c r="M27" s="568"/>
      <c r="N27" s="568"/>
      <c r="O27" s="569"/>
      <c r="P27" s="426"/>
      <c r="Q27" s="426"/>
      <c r="R27" s="426"/>
      <c r="S27" s="426"/>
      <c r="T27" s="426"/>
      <c r="U27" s="426"/>
    </row>
    <row r="28" spans="1:21" ht="42" customHeight="1">
      <c r="A28" s="491" t="s">
        <v>405</v>
      </c>
      <c r="B28" s="492"/>
      <c r="C28" s="492"/>
      <c r="D28" s="492"/>
      <c r="E28" s="492"/>
      <c r="F28" s="492"/>
      <c r="G28" s="493"/>
      <c r="H28" s="556"/>
      <c r="I28" s="557"/>
      <c r="J28" s="557"/>
      <c r="K28" s="557"/>
      <c r="L28" s="557"/>
      <c r="M28" s="557"/>
      <c r="N28" s="557"/>
      <c r="O28" s="558"/>
      <c r="P28" s="427"/>
      <c r="Q28" s="427"/>
      <c r="R28" s="427"/>
      <c r="S28" s="427"/>
      <c r="T28" s="427"/>
      <c r="U28" s="427"/>
    </row>
    <row r="29" spans="1:21" ht="42" customHeight="1">
      <c r="A29" s="491" t="s">
        <v>406</v>
      </c>
      <c r="B29" s="492"/>
      <c r="C29" s="492"/>
      <c r="D29" s="492"/>
      <c r="E29" s="492"/>
      <c r="F29" s="492"/>
      <c r="G29" s="493"/>
      <c r="H29" s="556"/>
      <c r="I29" s="557"/>
      <c r="J29" s="557"/>
      <c r="K29" s="557"/>
      <c r="L29" s="557"/>
      <c r="M29" s="557"/>
      <c r="N29" s="557"/>
      <c r="O29" s="558"/>
      <c r="P29" s="428"/>
      <c r="Q29" s="428"/>
      <c r="R29" s="428"/>
      <c r="S29" s="428"/>
      <c r="T29" s="428"/>
      <c r="U29" s="428"/>
    </row>
    <row r="30" spans="1:21" ht="18" customHeight="1">
      <c r="A30" s="442"/>
      <c r="B30" s="445"/>
      <c r="C30" s="445"/>
      <c r="D30" s="445"/>
      <c r="E30" s="445"/>
      <c r="F30" s="445"/>
      <c r="G30" s="445"/>
      <c r="H30" s="446"/>
      <c r="I30" s="446"/>
      <c r="J30" s="446"/>
      <c r="K30" s="446"/>
      <c r="L30" s="446"/>
      <c r="M30" s="446"/>
      <c r="N30" s="446"/>
      <c r="O30" s="443"/>
    </row>
    <row r="31" spans="1:21" ht="26.25" customHeight="1">
      <c r="A31" s="467" t="s">
        <v>395</v>
      </c>
      <c r="B31" s="445"/>
      <c r="C31" s="445"/>
      <c r="D31" s="445"/>
      <c r="E31" s="445"/>
      <c r="F31" s="445"/>
      <c r="G31" s="445"/>
      <c r="H31" s="446"/>
      <c r="I31" s="446"/>
      <c r="J31" s="446"/>
      <c r="K31" s="446"/>
      <c r="L31" s="446"/>
      <c r="M31" s="443"/>
      <c r="N31" s="443"/>
      <c r="O31" s="443"/>
    </row>
    <row r="32" spans="1:21" ht="6" customHeight="1">
      <c r="A32" s="442"/>
      <c r="B32" s="445"/>
      <c r="C32" s="445"/>
      <c r="D32" s="445"/>
      <c r="E32" s="445"/>
      <c r="F32" s="445"/>
      <c r="G32" s="445"/>
      <c r="H32" s="446"/>
      <c r="I32" s="446"/>
      <c r="J32" s="446"/>
      <c r="K32" s="446"/>
      <c r="L32" s="446"/>
      <c r="M32" s="443"/>
      <c r="N32" s="443"/>
      <c r="O32" s="443"/>
    </row>
    <row r="33" spans="1:16" s="479" customFormat="1" ht="15.75">
      <c r="A33" s="494" t="s">
        <v>390</v>
      </c>
      <c r="B33" s="495"/>
      <c r="C33" s="496"/>
      <c r="D33" s="496"/>
      <c r="E33" s="496"/>
      <c r="F33" s="497"/>
      <c r="G33" s="497"/>
      <c r="H33" s="497"/>
      <c r="I33" s="497"/>
      <c r="J33" s="498"/>
      <c r="K33" s="498"/>
      <c r="L33" s="498"/>
      <c r="M33" s="498"/>
      <c r="N33" s="498"/>
      <c r="O33" s="498"/>
    </row>
    <row r="34" spans="1:16" ht="0.75" customHeight="1">
      <c r="A34" s="563"/>
      <c r="B34" s="563"/>
      <c r="C34" s="563"/>
      <c r="D34" s="563"/>
      <c r="E34" s="563"/>
      <c r="F34" s="563"/>
      <c r="G34" s="563"/>
      <c r="H34" s="563"/>
      <c r="I34" s="563"/>
      <c r="J34" s="563"/>
      <c r="K34" s="563"/>
      <c r="L34" s="563"/>
      <c r="M34" s="563"/>
      <c r="N34" s="563"/>
      <c r="O34" s="563"/>
    </row>
    <row r="35" spans="1:16" ht="18" hidden="1" customHeight="1">
      <c r="A35" s="563"/>
      <c r="B35" s="563"/>
      <c r="C35" s="563"/>
      <c r="D35" s="563"/>
      <c r="E35" s="563"/>
      <c r="F35" s="563"/>
      <c r="G35" s="563"/>
      <c r="H35" s="563"/>
      <c r="I35" s="563"/>
      <c r="J35" s="563"/>
      <c r="K35" s="563"/>
      <c r="L35" s="563"/>
      <c r="M35" s="563"/>
      <c r="N35" s="563"/>
      <c r="O35" s="563"/>
    </row>
    <row r="36" spans="1:16" ht="12" customHeight="1">
      <c r="A36" s="447"/>
      <c r="B36" s="447"/>
      <c r="C36" s="447"/>
      <c r="D36" s="447"/>
      <c r="E36" s="447"/>
      <c r="F36" s="447"/>
      <c r="G36" s="447"/>
      <c r="H36" s="447"/>
      <c r="I36" s="447"/>
      <c r="J36" s="447"/>
      <c r="K36" s="447"/>
      <c r="L36" s="447"/>
      <c r="M36" s="447"/>
      <c r="N36" s="464"/>
      <c r="O36" s="447"/>
    </row>
    <row r="37" spans="1:16" s="455" customFormat="1" ht="17.25" customHeight="1">
      <c r="A37" s="575" t="s">
        <v>415</v>
      </c>
      <c r="B37" s="575"/>
      <c r="C37" s="575"/>
      <c r="D37" s="575"/>
      <c r="E37" s="575"/>
      <c r="F37" s="575"/>
      <c r="G37" s="575"/>
      <c r="H37" s="575"/>
      <c r="I37" s="575"/>
      <c r="J37" s="575"/>
      <c r="K37" s="575"/>
      <c r="L37" s="575"/>
      <c r="M37" s="575"/>
      <c r="N37" s="575"/>
      <c r="O37" s="576"/>
    </row>
    <row r="38" spans="1:16" ht="12.75">
      <c r="A38" s="559" t="s">
        <v>388</v>
      </c>
      <c r="B38" s="559" t="s">
        <v>389</v>
      </c>
      <c r="C38" s="559"/>
      <c r="D38" s="559"/>
      <c r="E38" s="559"/>
      <c r="F38" s="559"/>
      <c r="G38" s="559"/>
      <c r="H38" s="559" t="s">
        <v>407</v>
      </c>
      <c r="I38" s="559" t="s">
        <v>401</v>
      </c>
      <c r="J38" s="559" t="s">
        <v>394</v>
      </c>
      <c r="K38" s="559" t="s">
        <v>387</v>
      </c>
      <c r="L38" s="559" t="s">
        <v>402</v>
      </c>
      <c r="M38" s="559" t="s">
        <v>392</v>
      </c>
      <c r="N38" s="559" t="s">
        <v>393</v>
      </c>
      <c r="O38" s="560"/>
    </row>
    <row r="39" spans="1:16" ht="19.5" hidden="1" customHeight="1">
      <c r="A39" s="559"/>
      <c r="B39" s="559"/>
      <c r="C39" s="559"/>
      <c r="D39" s="559"/>
      <c r="E39" s="559"/>
      <c r="F39" s="559"/>
      <c r="G39" s="559"/>
      <c r="H39" s="559"/>
      <c r="I39" s="559"/>
      <c r="J39" s="559"/>
      <c r="K39" s="559"/>
      <c r="L39" s="559"/>
      <c r="M39" s="559"/>
      <c r="N39" s="559"/>
      <c r="O39" s="560"/>
      <c r="P39" s="3"/>
    </row>
    <row r="40" spans="1:16" ht="14.25" customHeight="1">
      <c r="A40" s="559"/>
      <c r="B40" s="559"/>
      <c r="C40" s="559"/>
      <c r="D40" s="559"/>
      <c r="E40" s="559"/>
      <c r="F40" s="559"/>
      <c r="G40" s="559"/>
      <c r="H40" s="559"/>
      <c r="I40" s="559"/>
      <c r="J40" s="559"/>
      <c r="K40" s="559"/>
      <c r="L40" s="559"/>
      <c r="M40" s="559"/>
      <c r="N40" s="559"/>
      <c r="O40" s="560"/>
    </row>
    <row r="41" spans="1:16" ht="19.5" customHeight="1">
      <c r="A41" s="559"/>
      <c r="B41" s="559"/>
      <c r="C41" s="559"/>
      <c r="D41" s="559"/>
      <c r="E41" s="559"/>
      <c r="F41" s="559"/>
      <c r="G41" s="559"/>
      <c r="H41" s="559"/>
      <c r="I41" s="559"/>
      <c r="J41" s="559"/>
      <c r="K41" s="559"/>
      <c r="L41" s="559"/>
      <c r="M41" s="559"/>
      <c r="N41" s="559"/>
      <c r="O41" s="560"/>
    </row>
    <row r="42" spans="1:16" ht="29.25" customHeight="1">
      <c r="A42" s="559"/>
      <c r="B42" s="559"/>
      <c r="C42" s="559"/>
      <c r="D42" s="559"/>
      <c r="E42" s="559"/>
      <c r="F42" s="559"/>
      <c r="G42" s="559"/>
      <c r="H42" s="559"/>
      <c r="I42" s="559"/>
      <c r="J42" s="559"/>
      <c r="K42" s="559"/>
      <c r="L42" s="559"/>
      <c r="M42" s="559"/>
      <c r="N42" s="559"/>
      <c r="O42" s="560"/>
    </row>
    <row r="43" spans="1:16" ht="35.25" customHeight="1">
      <c r="A43" s="475">
        <v>1</v>
      </c>
      <c r="B43" s="572"/>
      <c r="C43" s="573"/>
      <c r="D43" s="573"/>
      <c r="E43" s="573"/>
      <c r="F43" s="573"/>
      <c r="G43" s="574"/>
      <c r="H43" s="476"/>
      <c r="I43" s="480"/>
      <c r="J43" s="477"/>
      <c r="K43" s="477"/>
      <c r="L43" s="477"/>
      <c r="M43" s="468" t="e">
        <f>L43/(J43+K43)</f>
        <v>#DIV/0!</v>
      </c>
      <c r="N43" s="478"/>
      <c r="O43" s="465"/>
      <c r="P43" s="3"/>
    </row>
    <row r="44" spans="1:16" ht="35.25" customHeight="1">
      <c r="A44" s="475">
        <v>2</v>
      </c>
      <c r="B44" s="572"/>
      <c r="C44" s="573"/>
      <c r="D44" s="573"/>
      <c r="E44" s="573"/>
      <c r="F44" s="573"/>
      <c r="G44" s="574"/>
      <c r="H44" s="479"/>
      <c r="I44" s="480"/>
      <c r="J44" s="477"/>
      <c r="K44" s="477"/>
      <c r="L44" s="477"/>
      <c r="M44" s="468" t="e">
        <f>L44/(J44+K44)</f>
        <v>#DIV/0!</v>
      </c>
      <c r="N44" s="478"/>
      <c r="O44" s="465"/>
    </row>
    <row r="45" spans="1:16" ht="35.25" customHeight="1">
      <c r="A45" s="475">
        <v>3</v>
      </c>
      <c r="B45" s="572"/>
      <c r="C45" s="573"/>
      <c r="D45" s="573"/>
      <c r="E45" s="573"/>
      <c r="F45" s="573"/>
      <c r="G45" s="574"/>
      <c r="H45" s="476"/>
      <c r="I45" s="480"/>
      <c r="J45" s="477"/>
      <c r="K45" s="477"/>
      <c r="L45" s="477"/>
      <c r="M45" s="468" t="e">
        <f>L45/(J45+K45)</f>
        <v>#DIV/0!</v>
      </c>
      <c r="N45" s="478"/>
      <c r="O45" s="465"/>
    </row>
    <row r="46" spans="1:16" ht="35.25" customHeight="1">
      <c r="A46" s="475">
        <v>4</v>
      </c>
      <c r="B46" s="572"/>
      <c r="C46" s="573"/>
      <c r="D46" s="573"/>
      <c r="E46" s="573"/>
      <c r="F46" s="573"/>
      <c r="G46" s="574"/>
      <c r="H46" s="476"/>
      <c r="I46" s="480"/>
      <c r="J46" s="477"/>
      <c r="K46" s="477"/>
      <c r="L46" s="477"/>
      <c r="M46" s="468" t="e">
        <f>L46/(J46+K46)</f>
        <v>#DIV/0!</v>
      </c>
      <c r="N46" s="478"/>
      <c r="O46" s="465"/>
    </row>
    <row r="47" spans="1:16" ht="35.25" customHeight="1">
      <c r="A47" s="475">
        <v>5</v>
      </c>
      <c r="B47" s="572"/>
      <c r="C47" s="573"/>
      <c r="D47" s="573"/>
      <c r="E47" s="573"/>
      <c r="F47" s="573"/>
      <c r="G47" s="574"/>
      <c r="H47" s="476"/>
      <c r="I47" s="480"/>
      <c r="J47" s="477"/>
      <c r="K47" s="477"/>
      <c r="L47" s="477"/>
      <c r="M47" s="468" t="e">
        <f>L47/(J47+K47)</f>
        <v>#DIV/0!</v>
      </c>
      <c r="N47" s="478"/>
      <c r="O47" s="465"/>
    </row>
    <row r="48" spans="1:16" ht="9" customHeight="1">
      <c r="A48" s="456"/>
      <c r="B48" s="457"/>
      <c r="C48" s="457"/>
      <c r="D48" s="457"/>
      <c r="E48" s="457"/>
      <c r="F48" s="457"/>
      <c r="G48" s="457"/>
      <c r="H48" s="458"/>
      <c r="I48" s="458"/>
      <c r="J48" s="459"/>
      <c r="K48" s="459"/>
      <c r="L48" s="460"/>
      <c r="M48" s="461"/>
      <c r="N48" s="461"/>
      <c r="O48" s="462"/>
    </row>
    <row r="49" spans="1:15" ht="15" customHeight="1">
      <c r="A49" s="570" t="s">
        <v>410</v>
      </c>
      <c r="B49" s="570"/>
      <c r="C49" s="570"/>
      <c r="D49" s="570"/>
      <c r="E49" s="570"/>
      <c r="F49" s="570"/>
      <c r="G49" s="570"/>
      <c r="H49" s="570"/>
      <c r="I49" s="570"/>
      <c r="J49" s="570"/>
      <c r="K49" s="570"/>
      <c r="L49" s="570"/>
      <c r="M49" s="570"/>
      <c r="N49" s="570"/>
      <c r="O49" s="571"/>
    </row>
    <row r="50" spans="1:15" ht="12.75" customHeight="1">
      <c r="A50" s="559" t="s">
        <v>388</v>
      </c>
      <c r="B50" s="559" t="s">
        <v>389</v>
      </c>
      <c r="C50" s="559"/>
      <c r="D50" s="559"/>
      <c r="E50" s="559"/>
      <c r="F50" s="559"/>
      <c r="G50" s="559"/>
      <c r="H50" s="559" t="s">
        <v>407</v>
      </c>
      <c r="I50" s="559" t="s">
        <v>401</v>
      </c>
      <c r="J50" s="559" t="s">
        <v>394</v>
      </c>
      <c r="K50" s="559" t="s">
        <v>387</v>
      </c>
      <c r="L50" s="559" t="s">
        <v>402</v>
      </c>
      <c r="M50" s="559" t="s">
        <v>392</v>
      </c>
      <c r="N50" s="559" t="s">
        <v>393</v>
      </c>
      <c r="O50" s="560"/>
    </row>
    <row r="51" spans="1:15" ht="12.75" customHeight="1">
      <c r="A51" s="559"/>
      <c r="B51" s="559"/>
      <c r="C51" s="559"/>
      <c r="D51" s="559"/>
      <c r="E51" s="559"/>
      <c r="F51" s="559"/>
      <c r="G51" s="559"/>
      <c r="H51" s="559"/>
      <c r="I51" s="559"/>
      <c r="J51" s="559"/>
      <c r="K51" s="559"/>
      <c r="L51" s="559"/>
      <c r="M51" s="559"/>
      <c r="N51" s="559"/>
      <c r="O51" s="560"/>
    </row>
    <row r="52" spans="1:15" ht="12.75" customHeight="1">
      <c r="A52" s="559"/>
      <c r="B52" s="559"/>
      <c r="C52" s="559"/>
      <c r="D52" s="559"/>
      <c r="E52" s="559"/>
      <c r="F52" s="559"/>
      <c r="G52" s="559"/>
      <c r="H52" s="559"/>
      <c r="I52" s="559"/>
      <c r="J52" s="559"/>
      <c r="K52" s="559"/>
      <c r="L52" s="559"/>
      <c r="M52" s="559"/>
      <c r="N52" s="559"/>
      <c r="O52" s="560"/>
    </row>
    <row r="53" spans="1:15" ht="12.75" customHeight="1">
      <c r="A53" s="559"/>
      <c r="B53" s="559"/>
      <c r="C53" s="559"/>
      <c r="D53" s="559"/>
      <c r="E53" s="559"/>
      <c r="F53" s="559"/>
      <c r="G53" s="559"/>
      <c r="H53" s="559"/>
      <c r="I53" s="559"/>
      <c r="J53" s="559"/>
      <c r="K53" s="559"/>
      <c r="L53" s="559"/>
      <c r="M53" s="559"/>
      <c r="N53" s="559"/>
      <c r="O53" s="560"/>
    </row>
    <row r="54" spans="1:15" ht="31.5" customHeight="1">
      <c r="A54" s="559"/>
      <c r="B54" s="559"/>
      <c r="C54" s="559"/>
      <c r="D54" s="559"/>
      <c r="E54" s="559"/>
      <c r="F54" s="559"/>
      <c r="G54" s="559"/>
      <c r="H54" s="559"/>
      <c r="I54" s="559"/>
      <c r="J54" s="559"/>
      <c r="K54" s="559"/>
      <c r="L54" s="559"/>
      <c r="M54" s="559"/>
      <c r="N54" s="559"/>
      <c r="O54" s="560"/>
    </row>
    <row r="55" spans="1:15" ht="35.25" customHeight="1">
      <c r="A55" s="475">
        <v>1</v>
      </c>
      <c r="B55" s="572"/>
      <c r="C55" s="573"/>
      <c r="D55" s="573"/>
      <c r="E55" s="573"/>
      <c r="F55" s="573"/>
      <c r="G55" s="574"/>
      <c r="H55" s="481"/>
      <c r="I55" s="484"/>
      <c r="J55" s="482"/>
      <c r="K55" s="482"/>
      <c r="L55" s="477"/>
      <c r="M55" s="469" t="e">
        <f>L55/(J55+K55)</f>
        <v>#DIV/0!</v>
      </c>
      <c r="N55" s="483"/>
      <c r="O55" s="454"/>
    </row>
    <row r="56" spans="1:15" ht="35.25" customHeight="1">
      <c r="A56" s="470"/>
      <c r="B56" s="579"/>
      <c r="C56" s="580"/>
      <c r="D56" s="580"/>
      <c r="E56" s="580"/>
      <c r="F56" s="580"/>
      <c r="G56" s="581"/>
      <c r="H56" s="471"/>
      <c r="I56" s="471"/>
      <c r="J56" s="472"/>
      <c r="K56" s="472"/>
      <c r="L56" s="473"/>
      <c r="M56" s="469" t="e">
        <f>L56/(J56+K56)</f>
        <v>#DIV/0!</v>
      </c>
      <c r="N56" s="468"/>
      <c r="O56" s="454"/>
    </row>
    <row r="57" spans="1:15" ht="6.75" customHeight="1">
      <c r="A57" s="448"/>
      <c r="B57" s="449"/>
      <c r="C57" s="449"/>
      <c r="D57" s="449"/>
      <c r="E57" s="449"/>
      <c r="F57" s="449"/>
      <c r="G57" s="449"/>
      <c r="H57" s="450"/>
      <c r="I57" s="450"/>
      <c r="J57" s="451"/>
      <c r="K57" s="451"/>
      <c r="L57" s="452"/>
      <c r="M57" s="453"/>
      <c r="N57" s="453"/>
      <c r="O57" s="454"/>
    </row>
    <row r="58" spans="1:15" ht="24" customHeight="1">
      <c r="A58" s="577" t="s">
        <v>423</v>
      </c>
      <c r="B58" s="577"/>
      <c r="C58" s="577"/>
      <c r="D58" s="577"/>
      <c r="E58" s="577"/>
      <c r="F58" s="577"/>
      <c r="G58" s="577"/>
      <c r="H58" s="577"/>
      <c r="I58" s="577"/>
      <c r="J58" s="577"/>
      <c r="K58" s="577"/>
      <c r="L58" s="577"/>
      <c r="M58" s="577"/>
      <c r="N58" s="577"/>
      <c r="O58" s="577"/>
    </row>
    <row r="59" spans="1:15" ht="30.75" customHeight="1">
      <c r="A59" s="577"/>
      <c r="B59" s="577"/>
      <c r="C59" s="577"/>
      <c r="D59" s="577"/>
      <c r="E59" s="577"/>
      <c r="F59" s="577"/>
      <c r="G59" s="577"/>
      <c r="H59" s="577"/>
      <c r="I59" s="577"/>
      <c r="J59" s="577"/>
      <c r="K59" s="577"/>
      <c r="L59" s="577"/>
      <c r="M59" s="577"/>
      <c r="N59" s="577"/>
      <c r="O59" s="577"/>
    </row>
    <row r="60" spans="1:15" ht="3.75" customHeight="1">
      <c r="A60" s="577"/>
      <c r="B60" s="577"/>
      <c r="C60" s="577"/>
      <c r="D60" s="577"/>
      <c r="E60" s="577"/>
      <c r="F60" s="577"/>
      <c r="G60" s="577"/>
      <c r="H60" s="577"/>
      <c r="I60" s="577"/>
      <c r="J60" s="577"/>
      <c r="K60" s="577"/>
      <c r="L60" s="577"/>
      <c r="M60" s="577"/>
      <c r="N60" s="577"/>
      <c r="O60" s="577"/>
    </row>
    <row r="61" spans="1:15" ht="1.5" hidden="1" customHeight="1">
      <c r="A61" s="577"/>
      <c r="B61" s="577"/>
      <c r="C61" s="577"/>
      <c r="D61" s="577"/>
      <c r="E61" s="577"/>
      <c r="F61" s="577"/>
      <c r="G61" s="577"/>
      <c r="H61" s="577"/>
      <c r="I61" s="577"/>
      <c r="J61" s="577"/>
      <c r="K61" s="577"/>
      <c r="L61" s="577"/>
      <c r="M61" s="577"/>
      <c r="N61" s="577"/>
      <c r="O61" s="577"/>
    </row>
    <row r="62" spans="1:15" ht="7.5" customHeight="1">
      <c r="A62" s="499"/>
      <c r="B62" s="500"/>
      <c r="C62" s="500"/>
      <c r="D62" s="500"/>
      <c r="E62" s="500"/>
      <c r="F62" s="500"/>
      <c r="G62" s="500"/>
      <c r="H62" s="500"/>
      <c r="I62" s="500"/>
      <c r="J62" s="500"/>
      <c r="K62" s="500"/>
      <c r="L62" s="500"/>
      <c r="M62" s="500"/>
      <c r="N62" s="500"/>
      <c r="O62" s="498"/>
    </row>
    <row r="63" spans="1:15" ht="12.75" customHeight="1">
      <c r="A63" s="578" t="s">
        <v>411</v>
      </c>
      <c r="B63" s="578"/>
      <c r="C63" s="578"/>
      <c r="D63" s="578"/>
      <c r="E63" s="578"/>
      <c r="F63" s="578"/>
      <c r="G63" s="578"/>
      <c r="H63" s="578"/>
      <c r="I63" s="578"/>
      <c r="J63" s="578"/>
      <c r="K63" s="578"/>
      <c r="L63" s="578"/>
      <c r="M63" s="578"/>
      <c r="N63" s="578"/>
      <c r="O63" s="578"/>
    </row>
    <row r="64" spans="1:15" ht="12.75" customHeight="1">
      <c r="A64" s="499"/>
      <c r="B64" s="501"/>
      <c r="C64" s="502"/>
      <c r="D64" s="502"/>
      <c r="E64" s="502"/>
      <c r="F64" s="502"/>
      <c r="G64" s="502"/>
      <c r="H64" s="497"/>
      <c r="I64" s="497"/>
      <c r="J64" s="498"/>
      <c r="K64" s="498"/>
      <c r="L64" s="498"/>
      <c r="M64" s="498"/>
      <c r="N64" s="498"/>
      <c r="O64" s="498"/>
    </row>
    <row r="65" spans="1:15" ht="12.75" customHeight="1">
      <c r="A65" s="499"/>
      <c r="B65" s="479"/>
      <c r="C65" s="479"/>
      <c r="D65" s="479"/>
      <c r="E65" s="479"/>
      <c r="F65" s="479"/>
      <c r="G65" s="479"/>
      <c r="H65" s="479"/>
      <c r="I65" s="479"/>
      <c r="J65" s="479"/>
      <c r="K65" s="479"/>
      <c r="L65" s="479"/>
      <c r="M65" s="498"/>
      <c r="N65" s="498"/>
      <c r="O65" s="498"/>
    </row>
    <row r="66" spans="1:15" ht="12.75" customHeight="1">
      <c r="A66" s="499"/>
      <c r="B66" s="501" t="s">
        <v>397</v>
      </c>
      <c r="C66" s="502"/>
      <c r="D66" s="502"/>
      <c r="E66" s="502"/>
      <c r="F66" s="502"/>
      <c r="G66" s="502"/>
      <c r="H66" s="503"/>
      <c r="I66" s="501" t="s">
        <v>397</v>
      </c>
      <c r="J66" s="502"/>
      <c r="K66" s="502"/>
      <c r="L66" s="498"/>
      <c r="M66" s="498"/>
      <c r="N66" s="498"/>
      <c r="O66" s="498"/>
    </row>
    <row r="67" spans="1:15" ht="12.75" customHeight="1">
      <c r="A67" s="499"/>
      <c r="B67" s="501" t="s">
        <v>412</v>
      </c>
      <c r="C67" s="502"/>
      <c r="D67" s="502"/>
      <c r="E67" s="502"/>
      <c r="F67" s="502"/>
      <c r="G67" s="501" t="s">
        <v>396</v>
      </c>
      <c r="H67" s="501" t="s">
        <v>39</v>
      </c>
      <c r="I67" s="501" t="s">
        <v>414</v>
      </c>
      <c r="J67" s="502"/>
      <c r="K67" s="502"/>
      <c r="L67" s="498"/>
      <c r="M67" s="498"/>
      <c r="N67" s="498"/>
      <c r="O67" s="498"/>
    </row>
    <row r="68" spans="1:15" ht="18.75" customHeight="1">
      <c r="A68" s="499"/>
      <c r="B68" s="501"/>
      <c r="C68" s="502"/>
      <c r="D68" s="502"/>
      <c r="E68" s="502"/>
      <c r="F68" s="502"/>
      <c r="G68" s="502"/>
      <c r="H68" s="502"/>
      <c r="I68" s="497"/>
      <c r="J68" s="498"/>
      <c r="K68" s="498"/>
      <c r="L68" s="498"/>
      <c r="M68" s="498"/>
      <c r="N68" s="498"/>
      <c r="O68" s="498"/>
    </row>
    <row r="69" spans="1:15" ht="12.75" customHeight="1">
      <c r="A69" s="499"/>
      <c r="B69" s="501" t="s">
        <v>397</v>
      </c>
      <c r="C69" s="502"/>
      <c r="D69" s="502"/>
      <c r="E69" s="502"/>
      <c r="F69" s="502"/>
      <c r="G69" s="502"/>
      <c r="H69" s="502"/>
      <c r="I69" s="501" t="s">
        <v>397</v>
      </c>
      <c r="J69" s="502"/>
      <c r="K69" s="502"/>
      <c r="L69" s="498"/>
      <c r="M69" s="498"/>
      <c r="N69" s="498"/>
      <c r="O69" s="498"/>
    </row>
    <row r="70" spans="1:15" ht="12.75" customHeight="1">
      <c r="A70" s="487"/>
      <c r="B70" s="501" t="s">
        <v>413</v>
      </c>
      <c r="C70" s="502"/>
      <c r="D70" s="502"/>
      <c r="E70" s="502"/>
      <c r="F70" s="502"/>
      <c r="G70" s="502"/>
      <c r="H70" s="502"/>
      <c r="I70" s="504" t="s">
        <v>398</v>
      </c>
      <c r="J70" s="499" t="s">
        <v>399</v>
      </c>
      <c r="K70" s="499" t="s">
        <v>400</v>
      </c>
      <c r="L70" s="498"/>
      <c r="M70" s="498"/>
      <c r="N70" s="498"/>
      <c r="O70" s="498"/>
    </row>
    <row r="71" spans="1:15" ht="15" customHeight="1">
      <c r="A71" s="440"/>
      <c r="B71" s="440"/>
      <c r="C71" s="440"/>
      <c r="D71" s="440"/>
      <c r="E71" s="440"/>
      <c r="F71" s="440"/>
      <c r="G71" s="440"/>
      <c r="H71" s="440"/>
      <c r="I71" s="440"/>
      <c r="J71" s="440"/>
      <c r="K71" s="440"/>
      <c r="L71" s="440"/>
      <c r="M71" s="440"/>
      <c r="N71" s="440"/>
      <c r="O71" s="440"/>
    </row>
    <row r="111" ht="12.75"/>
    <row r="112" ht="12.75"/>
    <row r="113" spans="1:21" ht="12.75"/>
    <row r="114" spans="1:21" ht="12.75"/>
    <row r="115" spans="1:21" ht="12.75"/>
    <row r="117" spans="1:21" ht="27.75" customHeight="1"/>
    <row r="118" spans="1:21" ht="12.75" customHeight="1"/>
    <row r="119" spans="1:21" ht="7.5" customHeight="1"/>
    <row r="120" spans="1:21" ht="12.75" customHeight="1"/>
    <row r="121" spans="1:21" ht="12.75" customHeight="1"/>
    <row r="122" spans="1:21" ht="12.75" customHeight="1"/>
    <row r="123" spans="1:21" ht="12.75" customHeight="1"/>
    <row r="124" spans="1:21" ht="7.5" customHeight="1"/>
    <row r="125" spans="1:21" ht="12.75"/>
    <row r="126" spans="1:21" ht="7.5" customHeight="1"/>
    <row r="127" spans="1:21" s="351" customFormat="1" ht="12.75" customHeight="1">
      <c r="A127"/>
      <c r="B127"/>
      <c r="C127"/>
      <c r="D127"/>
      <c r="E127"/>
      <c r="F127"/>
      <c r="G127"/>
      <c r="H127"/>
      <c r="I127"/>
      <c r="J127"/>
      <c r="K127"/>
      <c r="L127"/>
      <c r="M127"/>
      <c r="N127"/>
      <c r="O127"/>
      <c r="P127"/>
      <c r="Q127"/>
      <c r="R127"/>
      <c r="S127"/>
      <c r="T127"/>
      <c r="U127"/>
    </row>
    <row r="128" spans="1:21" s="351" customFormat="1" ht="12.75" customHeight="1">
      <c r="A128"/>
      <c r="B128"/>
      <c r="C128"/>
      <c r="D128"/>
      <c r="E128"/>
      <c r="F128"/>
      <c r="G128"/>
      <c r="H128"/>
      <c r="I128"/>
      <c r="J128"/>
      <c r="K128"/>
      <c r="L128"/>
      <c r="M128"/>
      <c r="N128"/>
      <c r="O128"/>
      <c r="P128"/>
      <c r="Q128"/>
      <c r="R128"/>
      <c r="S128"/>
      <c r="T128"/>
      <c r="U128"/>
    </row>
    <row r="129" spans="1:21" s="351" customFormat="1" ht="12.75" customHeight="1">
      <c r="A129"/>
      <c r="B129"/>
      <c r="C129"/>
      <c r="D129"/>
      <c r="E129"/>
      <c r="F129"/>
      <c r="G129"/>
      <c r="H129"/>
      <c r="I129"/>
      <c r="J129"/>
      <c r="K129"/>
      <c r="L129"/>
      <c r="M129"/>
      <c r="N129"/>
      <c r="O129"/>
      <c r="P129"/>
      <c r="Q129"/>
      <c r="R129"/>
      <c r="S129"/>
      <c r="T129"/>
      <c r="U129"/>
    </row>
    <row r="130" spans="1:21" ht="7.5" customHeight="1">
      <c r="B130" s="351"/>
      <c r="C130" s="351"/>
      <c r="D130" s="351"/>
      <c r="E130" s="351"/>
      <c r="F130" s="351"/>
      <c r="G130" s="351"/>
      <c r="H130" s="351"/>
      <c r="I130" s="351"/>
      <c r="J130" s="351"/>
      <c r="K130" s="351"/>
      <c r="L130" s="351"/>
      <c r="M130" s="351"/>
      <c r="N130" s="351"/>
      <c r="O130" s="351"/>
      <c r="P130" s="351"/>
      <c r="Q130" s="351"/>
      <c r="R130" s="351"/>
      <c r="S130" s="351"/>
      <c r="T130" s="351"/>
      <c r="U130" s="351"/>
    </row>
    <row r="131" spans="1:21" ht="12.75" customHeight="1">
      <c r="A131" s="351"/>
      <c r="B131" s="351"/>
      <c r="C131" s="351"/>
      <c r="D131" s="351"/>
      <c r="E131" s="351"/>
      <c r="F131" s="351"/>
      <c r="G131" s="351"/>
      <c r="H131" s="351"/>
      <c r="I131" s="351"/>
      <c r="J131" s="351"/>
      <c r="K131" s="351"/>
      <c r="L131" s="351"/>
      <c r="M131" s="351"/>
      <c r="N131" s="351"/>
      <c r="O131" s="351"/>
      <c r="P131" s="351"/>
      <c r="Q131" s="351"/>
      <c r="R131" s="351"/>
      <c r="S131" s="351"/>
      <c r="T131" s="351"/>
      <c r="U131" s="351"/>
    </row>
    <row r="132" spans="1:21" s="351" customFormat="1" ht="12.75" customHeight="1"/>
    <row r="133" spans="1:21" s="351" customFormat="1" ht="36" customHeight="1">
      <c r="B133"/>
      <c r="C133"/>
      <c r="D133"/>
      <c r="E133"/>
      <c r="F133"/>
      <c r="G133"/>
      <c r="H133"/>
      <c r="I133"/>
      <c r="J133"/>
      <c r="K133"/>
      <c r="L133"/>
      <c r="M133"/>
      <c r="N133"/>
      <c r="O133"/>
      <c r="P133"/>
      <c r="Q133"/>
      <c r="R133"/>
      <c r="S133"/>
      <c r="T133"/>
      <c r="U133"/>
    </row>
    <row r="134" spans="1:21" s="351" customFormat="1" ht="12.75" customHeight="1">
      <c r="A134"/>
      <c r="B134"/>
      <c r="C134"/>
      <c r="D134"/>
      <c r="E134"/>
      <c r="F134"/>
      <c r="G134"/>
      <c r="H134"/>
      <c r="I134"/>
      <c r="J134"/>
      <c r="K134"/>
      <c r="L134"/>
      <c r="M134"/>
      <c r="N134"/>
      <c r="O134"/>
      <c r="P134"/>
      <c r="Q134"/>
      <c r="R134"/>
      <c r="S134"/>
      <c r="T134"/>
      <c r="U134"/>
    </row>
    <row r="135" spans="1:21" s="351" customFormat="1" ht="12.75" customHeight="1">
      <c r="A135"/>
    </row>
    <row r="136" spans="1:21" s="351" customFormat="1" ht="12.75" customHeight="1"/>
    <row r="137" spans="1:21" s="351" customFormat="1" ht="12.75" customHeight="1"/>
    <row r="138" spans="1:21" s="351" customFormat="1" ht="12.75" customHeight="1"/>
    <row r="139" spans="1:21" s="351" customFormat="1" ht="12.75" customHeight="1"/>
    <row r="140" spans="1:21" s="351" customFormat="1" ht="12.75" customHeight="1"/>
    <row r="141" spans="1:21" s="351" customFormat="1" ht="12.75" customHeight="1"/>
    <row r="142" spans="1:21" s="351" customFormat="1" ht="12.75" customHeight="1"/>
    <row r="143" spans="1:21" s="351" customFormat="1" ht="12.75" customHeight="1"/>
    <row r="144" spans="1:21" s="351" customFormat="1" ht="12.75" customHeight="1"/>
    <row r="145" spans="1:21" s="351" customFormat="1" ht="12.75" customHeight="1"/>
    <row r="146" spans="1:21" s="351" customFormat="1" ht="12.75" customHeight="1"/>
    <row r="147" spans="1:21" s="351" customFormat="1" ht="12.75" customHeight="1"/>
    <row r="148" spans="1:21" ht="15" customHeight="1">
      <c r="A148" s="351"/>
      <c r="B148" s="351"/>
      <c r="C148" s="351"/>
      <c r="D148" s="351"/>
      <c r="E148" s="351"/>
      <c r="F148" s="351"/>
      <c r="G148" s="351"/>
      <c r="H148" s="351"/>
      <c r="I148" s="351"/>
      <c r="J148" s="351"/>
      <c r="K148" s="351"/>
      <c r="L148" s="351"/>
      <c r="M148" s="351"/>
      <c r="N148" s="351"/>
      <c r="O148" s="351"/>
      <c r="P148" s="351"/>
      <c r="Q148" s="351"/>
      <c r="R148" s="351"/>
      <c r="S148" s="351"/>
      <c r="T148" s="351"/>
      <c r="U148" s="351"/>
    </row>
    <row r="149" spans="1:21" ht="12.75">
      <c r="A149" s="351"/>
      <c r="B149" s="351"/>
      <c r="C149" s="351"/>
      <c r="D149" s="351"/>
      <c r="E149" s="351"/>
      <c r="F149" s="351"/>
      <c r="G149" s="351"/>
      <c r="H149" s="351"/>
      <c r="I149" s="351"/>
      <c r="J149" s="351"/>
      <c r="K149" s="351"/>
      <c r="L149" s="351"/>
      <c r="M149" s="351"/>
      <c r="N149" s="351"/>
      <c r="O149" s="351"/>
      <c r="P149" s="351"/>
      <c r="Q149" s="351"/>
      <c r="R149" s="351"/>
      <c r="S149" s="351"/>
      <c r="T149" s="351"/>
      <c r="U149" s="351"/>
    </row>
    <row r="150" spans="1:21" ht="7.5" customHeight="1">
      <c r="A150" s="351"/>
      <c r="B150" s="351"/>
      <c r="C150" s="351"/>
      <c r="D150" s="351"/>
      <c r="E150" s="351"/>
      <c r="F150" s="351"/>
      <c r="G150" s="351"/>
      <c r="H150" s="351"/>
      <c r="I150" s="351"/>
      <c r="J150" s="351"/>
      <c r="K150" s="351"/>
      <c r="L150" s="351"/>
      <c r="M150" s="351"/>
      <c r="N150" s="351"/>
      <c r="O150" s="351"/>
      <c r="P150" s="351"/>
      <c r="Q150" s="351"/>
      <c r="R150" s="351"/>
      <c r="S150" s="351"/>
      <c r="T150" s="351"/>
      <c r="U150" s="351"/>
    </row>
    <row r="151" spans="1:21" s="351" customFormat="1" ht="12.75" customHeight="1">
      <c r="B151"/>
      <c r="C151"/>
      <c r="D151"/>
      <c r="E151"/>
      <c r="F151"/>
      <c r="G151"/>
      <c r="H151"/>
      <c r="I151"/>
      <c r="J151"/>
      <c r="K151"/>
      <c r="L151"/>
      <c r="M151"/>
      <c r="N151"/>
      <c r="O151"/>
      <c r="P151"/>
      <c r="Q151"/>
      <c r="R151"/>
      <c r="S151"/>
      <c r="T151"/>
      <c r="U151"/>
    </row>
    <row r="152" spans="1:21" ht="7.5" customHeight="1"/>
    <row r="153" spans="1:21" s="351" customFormat="1" ht="12.75" customHeight="1">
      <c r="A153"/>
      <c r="B153"/>
      <c r="C153"/>
      <c r="D153"/>
      <c r="E153"/>
      <c r="F153"/>
      <c r="G153"/>
      <c r="H153"/>
      <c r="I153"/>
      <c r="J153"/>
      <c r="K153"/>
      <c r="L153"/>
      <c r="M153"/>
      <c r="N153"/>
      <c r="O153"/>
      <c r="P153"/>
      <c r="Q153"/>
      <c r="R153"/>
      <c r="S153"/>
      <c r="T153"/>
      <c r="U153"/>
    </row>
    <row r="154" spans="1:21" s="351" customFormat="1" ht="12.75" customHeight="1">
      <c r="A154"/>
    </row>
    <row r="155" spans="1:21" s="351" customFormat="1" ht="12.75" customHeight="1">
      <c r="B155"/>
      <c r="C155"/>
      <c r="D155"/>
      <c r="E155"/>
      <c r="F155"/>
      <c r="G155"/>
      <c r="H155"/>
      <c r="I155"/>
      <c r="J155"/>
      <c r="K155"/>
      <c r="L155"/>
      <c r="M155"/>
      <c r="N155"/>
      <c r="O155"/>
      <c r="P155"/>
      <c r="Q155"/>
      <c r="R155"/>
      <c r="S155"/>
      <c r="T155"/>
      <c r="U155"/>
    </row>
    <row r="156" spans="1:21" ht="7.5" customHeight="1">
      <c r="B156" s="351"/>
      <c r="C156" s="351"/>
      <c r="D156" s="351"/>
      <c r="E156" s="351"/>
      <c r="F156" s="351"/>
      <c r="G156" s="351"/>
      <c r="H156" s="351"/>
      <c r="I156" s="351"/>
      <c r="J156" s="351"/>
      <c r="K156" s="351"/>
      <c r="L156" s="351"/>
      <c r="M156" s="351"/>
      <c r="N156" s="351"/>
      <c r="O156" s="351"/>
      <c r="P156" s="351"/>
      <c r="Q156" s="351"/>
      <c r="R156" s="351"/>
      <c r="S156" s="351"/>
      <c r="T156" s="351"/>
      <c r="U156" s="351"/>
    </row>
    <row r="157" spans="1:21" s="351" customFormat="1" ht="12.75" customHeight="1"/>
    <row r="158" spans="1:21" s="351" customFormat="1" ht="24" customHeight="1"/>
    <row r="159" spans="1:21" s="351" customFormat="1" ht="12.75" customHeight="1">
      <c r="B159"/>
      <c r="C159"/>
      <c r="D159"/>
      <c r="E159"/>
      <c r="F159"/>
      <c r="G159"/>
      <c r="H159"/>
      <c r="I159"/>
      <c r="J159"/>
      <c r="K159"/>
      <c r="L159"/>
      <c r="M159"/>
      <c r="N159"/>
      <c r="O159"/>
      <c r="P159"/>
      <c r="Q159"/>
      <c r="R159"/>
      <c r="S159"/>
      <c r="T159"/>
      <c r="U159"/>
    </row>
    <row r="160" spans="1:21" ht="7.5" customHeight="1">
      <c r="B160" s="351"/>
      <c r="C160" s="351"/>
      <c r="D160" s="351"/>
      <c r="E160" s="351"/>
      <c r="F160" s="351"/>
      <c r="G160" s="351"/>
      <c r="H160" s="351"/>
      <c r="I160" s="351"/>
      <c r="J160" s="351"/>
      <c r="K160" s="351"/>
      <c r="L160" s="351"/>
      <c r="M160" s="351"/>
      <c r="N160" s="351"/>
      <c r="O160" s="351"/>
      <c r="P160" s="351"/>
      <c r="Q160" s="351"/>
      <c r="R160" s="351"/>
      <c r="S160" s="351"/>
      <c r="T160" s="351"/>
      <c r="U160" s="351"/>
    </row>
    <row r="161" spans="1:21" s="351" customFormat="1" ht="12.75" customHeight="1"/>
    <row r="162" spans="1:21" ht="7.5" customHeight="1">
      <c r="A162" s="351"/>
      <c r="B162" s="351"/>
      <c r="C162" s="351"/>
      <c r="D162" s="351"/>
      <c r="E162" s="351"/>
      <c r="F162" s="351"/>
      <c r="G162" s="351"/>
      <c r="H162" s="351"/>
      <c r="I162" s="351"/>
      <c r="J162" s="351"/>
      <c r="K162" s="351"/>
      <c r="L162" s="351"/>
      <c r="M162" s="351"/>
      <c r="N162" s="351"/>
      <c r="O162" s="351"/>
      <c r="P162" s="351"/>
      <c r="Q162" s="351"/>
      <c r="R162" s="351"/>
      <c r="S162" s="351"/>
      <c r="T162" s="351"/>
      <c r="U162" s="351"/>
    </row>
    <row r="163" spans="1:21" ht="12.75">
      <c r="A163" s="351"/>
    </row>
    <row r="164" spans="1:21" ht="7.5" customHeight="1">
      <c r="B164" s="351"/>
      <c r="C164" s="351"/>
      <c r="D164" s="351"/>
      <c r="E164" s="351"/>
      <c r="F164" s="351"/>
      <c r="G164" s="351"/>
      <c r="H164" s="351"/>
      <c r="I164" s="351"/>
      <c r="J164" s="351"/>
      <c r="K164" s="351"/>
      <c r="L164" s="351"/>
      <c r="M164" s="351"/>
      <c r="N164" s="351"/>
      <c r="O164" s="351"/>
      <c r="P164" s="351"/>
      <c r="Q164" s="351"/>
      <c r="R164" s="351"/>
      <c r="S164" s="351"/>
      <c r="T164" s="351"/>
      <c r="U164" s="351"/>
    </row>
    <row r="165" spans="1:21" s="351" customFormat="1" ht="12.75">
      <c r="B165"/>
      <c r="C165"/>
      <c r="D165"/>
      <c r="E165"/>
      <c r="F165"/>
      <c r="G165"/>
      <c r="H165"/>
      <c r="I165"/>
      <c r="J165"/>
      <c r="K165"/>
      <c r="L165"/>
      <c r="M165"/>
      <c r="N165"/>
      <c r="O165"/>
      <c r="P165"/>
      <c r="Q165"/>
      <c r="R165"/>
      <c r="S165"/>
      <c r="T165"/>
      <c r="U165"/>
    </row>
    <row r="166" spans="1:21" s="351" customFormat="1" ht="12.75">
      <c r="A166"/>
      <c r="B166"/>
      <c r="C166"/>
      <c r="D166"/>
      <c r="E166"/>
      <c r="F166"/>
      <c r="G166"/>
      <c r="H166"/>
      <c r="I166"/>
      <c r="J166"/>
      <c r="K166"/>
      <c r="L166"/>
      <c r="M166"/>
      <c r="N166"/>
      <c r="O166"/>
      <c r="P166"/>
      <c r="Q166"/>
      <c r="R166"/>
      <c r="S166"/>
      <c r="T166"/>
      <c r="U166"/>
    </row>
    <row r="167" spans="1:21" s="351" customFormat="1" ht="12.75">
      <c r="A167"/>
      <c r="B167"/>
      <c r="C167"/>
      <c r="D167"/>
      <c r="E167"/>
      <c r="F167"/>
      <c r="G167"/>
      <c r="H167"/>
      <c r="I167"/>
      <c r="J167"/>
      <c r="K167"/>
      <c r="L167"/>
      <c r="M167"/>
      <c r="N167"/>
      <c r="O167"/>
      <c r="P167"/>
      <c r="Q167"/>
      <c r="R167"/>
      <c r="S167"/>
      <c r="T167"/>
      <c r="U167"/>
    </row>
    <row r="168" spans="1:21" s="351" customFormat="1" ht="12.75">
      <c r="A168"/>
    </row>
    <row r="169" spans="1:21" s="351" customFormat="1" ht="12"/>
    <row r="170" spans="1:21" s="351" customFormat="1" ht="12"/>
    <row r="171" spans="1:21" s="351" customFormat="1" ht="12"/>
    <row r="172" spans="1:21" s="351" customFormat="1" ht="12"/>
    <row r="173" spans="1:21" s="351" customFormat="1" ht="12"/>
    <row r="174" spans="1:21" s="351" customFormat="1" ht="12"/>
    <row r="175" spans="1:21" ht="15" customHeight="1">
      <c r="A175" s="351"/>
      <c r="B175" s="351"/>
      <c r="C175" s="351"/>
      <c r="D175" s="351"/>
      <c r="E175" s="351"/>
      <c r="F175" s="351"/>
      <c r="G175" s="351"/>
      <c r="H175" s="351"/>
      <c r="I175" s="351"/>
      <c r="J175" s="351"/>
      <c r="K175" s="351"/>
      <c r="L175" s="351"/>
      <c r="M175" s="351"/>
      <c r="N175" s="351"/>
      <c r="O175" s="351"/>
      <c r="P175" s="351"/>
      <c r="Q175" s="351"/>
      <c r="R175" s="351"/>
      <c r="S175" s="351"/>
      <c r="T175" s="351"/>
      <c r="U175" s="351"/>
    </row>
    <row r="176" spans="1:21" ht="15" customHeight="1">
      <c r="A176" s="351"/>
      <c r="B176" s="351"/>
      <c r="C176" s="351"/>
      <c r="D176" s="351"/>
      <c r="E176" s="351"/>
      <c r="F176" s="351"/>
      <c r="G176" s="351"/>
      <c r="H176" s="351"/>
      <c r="I176" s="351"/>
      <c r="J176" s="351"/>
      <c r="K176" s="351"/>
      <c r="L176" s="351"/>
      <c r="M176" s="351"/>
      <c r="N176" s="351"/>
      <c r="O176" s="351"/>
      <c r="P176" s="351"/>
      <c r="Q176" s="351"/>
      <c r="R176" s="351"/>
      <c r="S176" s="351"/>
      <c r="T176" s="351"/>
      <c r="U176" s="351"/>
    </row>
    <row r="177" spans="1:21" ht="15" customHeight="1">
      <c r="A177" s="351"/>
      <c r="B177" s="351"/>
      <c r="C177" s="351"/>
      <c r="D177" s="351"/>
      <c r="E177" s="351"/>
      <c r="F177" s="351"/>
      <c r="G177" s="351"/>
      <c r="H177" s="351"/>
      <c r="I177" s="351"/>
      <c r="J177" s="351"/>
      <c r="K177" s="351"/>
      <c r="L177" s="351"/>
      <c r="M177" s="351"/>
      <c r="N177" s="351"/>
      <c r="O177" s="351"/>
      <c r="P177" s="351"/>
      <c r="Q177" s="351"/>
      <c r="R177" s="351"/>
      <c r="S177" s="351"/>
      <c r="T177" s="351"/>
      <c r="U177" s="351"/>
    </row>
    <row r="178" spans="1:21" ht="15" customHeight="1">
      <c r="A178" s="351"/>
    </row>
  </sheetData>
  <mergeCells count="44">
    <mergeCell ref="K38:K42"/>
    <mergeCell ref="L38:L42"/>
    <mergeCell ref="A13:O13"/>
    <mergeCell ref="A15:O15"/>
    <mergeCell ref="O38:O42"/>
    <mergeCell ref="B43:G43"/>
    <mergeCell ref="B56:G56"/>
    <mergeCell ref="L50:L54"/>
    <mergeCell ref="A9:O9"/>
    <mergeCell ref="B11:O11"/>
    <mergeCell ref="A25:O25"/>
    <mergeCell ref="I38:I42"/>
    <mergeCell ref="J38:J42"/>
    <mergeCell ref="A38:A42"/>
    <mergeCell ref="A37:O37"/>
    <mergeCell ref="B44:G44"/>
    <mergeCell ref="B38:G42"/>
    <mergeCell ref="N38:N42"/>
    <mergeCell ref="A58:O61"/>
    <mergeCell ref="A63:O63"/>
    <mergeCell ref="B55:G55"/>
    <mergeCell ref="B46:G46"/>
    <mergeCell ref="B47:G47"/>
    <mergeCell ref="M38:M42"/>
    <mergeCell ref="N50:N54"/>
    <mergeCell ref="B18:G18"/>
    <mergeCell ref="H18:J18"/>
    <mergeCell ref="K18:M18"/>
    <mergeCell ref="H38:H42"/>
    <mergeCell ref="A34:O35"/>
    <mergeCell ref="A27:G27"/>
    <mergeCell ref="H27:O27"/>
    <mergeCell ref="A49:O49"/>
    <mergeCell ref="B45:G45"/>
    <mergeCell ref="H28:O28"/>
    <mergeCell ref="H29:O29"/>
    <mergeCell ref="M50:M54"/>
    <mergeCell ref="O50:O54"/>
    <mergeCell ref="A50:A54"/>
    <mergeCell ref="B50:G54"/>
    <mergeCell ref="H50:H54"/>
    <mergeCell ref="I50:I54"/>
    <mergeCell ref="J50:J54"/>
    <mergeCell ref="K50:K54"/>
  </mergeCells>
  <conditionalFormatting sqref="J56:O57 O55 M55">
    <cfRule type="containsText" dxfId="2" priority="28" stopIfTrue="1" operator="containsText" text="not applicable">
      <formula>NOT(ISERROR(SEARCH("not applicable",J55)))</formula>
    </cfRule>
  </conditionalFormatting>
  <conditionalFormatting sqref="J55:L55 N55">
    <cfRule type="containsText" dxfId="1" priority="2" stopIfTrue="1" operator="containsText" text="not applicable">
      <formula>NOT(ISERROR(SEARCH("not applicable",J55)))</formula>
    </cfRule>
  </conditionalFormatting>
  <conditionalFormatting sqref="M43:M47">
    <cfRule type="containsText" dxfId="0" priority="1" stopIfTrue="1" operator="containsText" text="not applicable">
      <formula>NOT(ISERROR(SEARCH("not applicable",M43)))</formula>
    </cfRule>
  </conditionalFormatting>
  <pageMargins left="0.59055118110236227" right="0.59055118110236227" top="0.74803149606299213" bottom="0.86614173228346458" header="0.31496062992125984" footer="0.51181102362204722"/>
  <pageSetup scale="67" fitToHeight="0" orientation="landscape" r:id="rId1"/>
  <headerFooter>
    <oddFooter>&amp;L&amp;G&amp;R&amp;G</oddFooter>
    <firstFooter>&amp;L&amp;G</firstFooter>
  </headerFooter>
  <rowBreaks count="1" manualBreakCount="1">
    <brk id="30" max="1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enableFormatConditionsCalculation="0">
    <tabColor rgb="FF7030A0"/>
  </sheetPr>
  <dimension ref="A1:L56"/>
  <sheetViews>
    <sheetView showGridLines="0" view="pageBreakPreview" zoomScaleNormal="100" zoomScaleSheetLayoutView="100" workbookViewId="0">
      <selection activeCell="M15" sqref="M15"/>
    </sheetView>
  </sheetViews>
  <sheetFormatPr defaultColWidth="0" defaultRowHeight="12.75"/>
  <cols>
    <col min="1" max="3" width="10.140625" style="240" customWidth="1"/>
    <col min="4" max="4" width="14.28515625" customWidth="1"/>
    <col min="5" max="5" width="5.5703125" customWidth="1"/>
    <col min="6" max="6" width="16.7109375" customWidth="1"/>
    <col min="7" max="7" width="6.140625" customWidth="1"/>
    <col min="8" max="8" width="10.42578125" customWidth="1"/>
    <col min="9" max="9" width="11.28515625" customWidth="1"/>
    <col min="10" max="10" width="4.140625" customWidth="1"/>
    <col min="11" max="11" width="5.7109375" customWidth="1"/>
    <col min="12" max="12" width="29" hidden="1" customWidth="1"/>
    <col min="13" max="13" width="25.7109375" customWidth="1"/>
  </cols>
  <sheetData>
    <row r="1" spans="1:12">
      <c r="L1" t="s">
        <v>7</v>
      </c>
    </row>
    <row r="2" spans="1:12">
      <c r="L2" s="248" t="s">
        <v>8</v>
      </c>
    </row>
    <row r="3" spans="1:12">
      <c r="L3" t="str">
        <f ca="1">DAY(TODAY())&amp;IF(AND(MOD(DAY(TODAY()),100)&gt;=10,MOD(DAY(TODAY()),100)&lt;=14),"th",
CHOOSE(MOD(DAY(TODAY()),10)+1,"th","st","nd","rd","th","th","th","th","th","th"))</f>
        <v>13th</v>
      </c>
    </row>
    <row r="4" spans="1:12">
      <c r="L4" s="246" t="e">
        <f ca="1">L3&amp;" day of "&amp;MonthText(TODAY()) &amp; ", " &amp; YEAR(TODAY())</f>
        <v>#NAME?</v>
      </c>
    </row>
    <row r="5" spans="1:12">
      <c r="L5" s="247" t="s">
        <v>198</v>
      </c>
    </row>
    <row r="6" spans="1:12" ht="28.5" customHeight="1">
      <c r="A6" s="602" t="s">
        <v>299</v>
      </c>
      <c r="B6" s="602"/>
      <c r="C6" s="602"/>
      <c r="D6" s="602"/>
      <c r="E6" s="602"/>
      <c r="F6" s="602"/>
      <c r="G6" s="602"/>
      <c r="H6" s="602"/>
      <c r="I6" s="602"/>
      <c r="J6" s="602"/>
      <c r="K6" s="602"/>
    </row>
    <row r="7" spans="1:12" ht="9" customHeight="1">
      <c r="A7"/>
      <c r="B7"/>
      <c r="C7"/>
    </row>
    <row r="8" spans="1:12">
      <c r="A8" s="628" t="s">
        <v>9</v>
      </c>
      <c r="B8" s="629"/>
      <c r="C8" s="629"/>
      <c r="D8" s="629"/>
      <c r="E8" s="629"/>
      <c r="F8" s="629"/>
      <c r="G8" s="629"/>
      <c r="H8" s="629"/>
      <c r="I8" s="629"/>
      <c r="J8" s="629"/>
      <c r="K8" s="629"/>
    </row>
    <row r="9" spans="1:12" ht="7.5" customHeight="1">
      <c r="A9" s="310"/>
      <c r="B9" s="311"/>
      <c r="C9" s="311"/>
      <c r="D9" s="311"/>
      <c r="E9" s="311"/>
      <c r="F9" s="311"/>
      <c r="G9" s="311"/>
      <c r="H9" s="311"/>
      <c r="I9" s="311"/>
      <c r="J9" s="311"/>
      <c r="K9" s="311"/>
    </row>
    <row r="10" spans="1:12" ht="12" customHeight="1">
      <c r="A10" s="635" t="s">
        <v>25</v>
      </c>
      <c r="B10" s="631"/>
      <c r="C10" s="631"/>
      <c r="D10" s="631"/>
      <c r="E10" s="631"/>
      <c r="F10" s="630" t="s">
        <v>199</v>
      </c>
      <c r="G10" s="631"/>
      <c r="H10" s="631"/>
      <c r="I10" s="631"/>
      <c r="J10" s="631"/>
      <c r="K10" s="632"/>
    </row>
    <row r="11" spans="1:12" ht="12" customHeight="1">
      <c r="A11" s="622" t="e">
        <f>customer_name</f>
        <v>#REF!</v>
      </c>
      <c r="B11" s="623"/>
      <c r="C11" s="623"/>
      <c r="D11" s="623"/>
      <c r="E11" s="623"/>
      <c r="F11" s="606" t="e">
        <f>IF(cust_or_facility="Customer",customer_address,IF(cust_or_facility="Facility",facility_address,"Choose Customer or Facility on Data Input Tab"))</f>
        <v>#REF!</v>
      </c>
      <c r="G11" s="607"/>
      <c r="H11" s="607"/>
      <c r="I11" s="607"/>
      <c r="J11" s="607"/>
      <c r="K11" s="608"/>
    </row>
    <row r="12" spans="1:12" ht="12" customHeight="1">
      <c r="A12" s="633" t="s">
        <v>10</v>
      </c>
      <c r="B12" s="634"/>
      <c r="C12" s="634"/>
      <c r="D12" s="634"/>
      <c r="E12" s="634"/>
      <c r="F12" s="606" t="e">
        <f>IF(cust_or_facility="Customer",customer_city&amp;", "&amp;customer_province,IF(cust_or_facility="Facility",facility_city&amp;", "&amp;facility_province,"Choose Customer or Facility on Data Input Tab"))</f>
        <v>#REF!</v>
      </c>
      <c r="G12" s="607"/>
      <c r="H12" s="607"/>
      <c r="I12" s="607"/>
      <c r="J12" s="607"/>
      <c r="K12" s="608"/>
    </row>
    <row r="13" spans="1:12" ht="12" customHeight="1">
      <c r="A13" s="670" t="e">
        <f>NSPI_acct_number</f>
        <v>#REF!</v>
      </c>
      <c r="B13" s="671"/>
      <c r="C13" s="671"/>
      <c r="D13" s="671"/>
      <c r="E13" s="671"/>
      <c r="F13" s="663" t="e">
        <f>IF(cust_or_facility="Customer",customer_postalcode,IF(cust_or_facility="Facility",facility_postalcode,"Choose Customer or Facility on Data Input Tab"))</f>
        <v>#REF!</v>
      </c>
      <c r="G13" s="664"/>
      <c r="H13" s="664"/>
      <c r="I13" s="664"/>
      <c r="J13" s="664"/>
      <c r="K13" s="665"/>
    </row>
    <row r="14" spans="1:12" ht="12" customHeight="1">
      <c r="A14" s="633" t="s">
        <v>225</v>
      </c>
      <c r="B14" s="634"/>
      <c r="C14" s="634"/>
      <c r="D14" s="634"/>
      <c r="E14" s="634"/>
      <c r="F14" s="636" t="s">
        <v>217</v>
      </c>
      <c r="G14" s="637"/>
      <c r="H14" s="637"/>
      <c r="I14" s="637"/>
      <c r="J14" s="637"/>
      <c r="K14" s="638"/>
    </row>
    <row r="15" spans="1:12" ht="12" customHeight="1">
      <c r="A15" s="622" t="e">
        <f>customer_phone</f>
        <v>#REF!</v>
      </c>
      <c r="B15" s="623"/>
      <c r="C15" s="623"/>
      <c r="D15" s="623"/>
      <c r="E15" s="623"/>
      <c r="F15" s="606"/>
      <c r="G15" s="607"/>
      <c r="H15" s="607"/>
      <c r="I15" s="607"/>
      <c r="J15" s="607"/>
      <c r="K15" s="608"/>
    </row>
    <row r="16" spans="1:12" ht="12" customHeight="1">
      <c r="A16" s="633" t="s">
        <v>224</v>
      </c>
      <c r="B16" s="634"/>
      <c r="C16" s="634"/>
      <c r="D16" s="634"/>
      <c r="E16" s="634"/>
      <c r="F16" s="606" t="e">
        <f>facility_address</f>
        <v>#REF!</v>
      </c>
      <c r="G16" s="607"/>
      <c r="H16" s="607"/>
      <c r="I16" s="607"/>
      <c r="J16" s="607"/>
      <c r="K16" s="608"/>
    </row>
    <row r="17" spans="1:11" ht="12" customHeight="1">
      <c r="A17" s="622" t="e">
        <f>customer_contact_name</f>
        <v>#REF!</v>
      </c>
      <c r="B17" s="623"/>
      <c r="C17" s="623"/>
      <c r="D17" s="623"/>
      <c r="E17" s="623"/>
      <c r="F17" s="606" t="e">
        <f>facility_city&amp;", "&amp;facility_province</f>
        <v>#REF!</v>
      </c>
      <c r="G17" s="607"/>
      <c r="H17" s="607"/>
      <c r="I17" s="607"/>
      <c r="J17" s="607"/>
      <c r="K17" s="608"/>
    </row>
    <row r="18" spans="1:11" ht="12" customHeight="1">
      <c r="A18" s="313" t="s">
        <v>223</v>
      </c>
      <c r="B18" s="314"/>
      <c r="C18" s="314"/>
      <c r="D18" s="314"/>
      <c r="E18" s="314"/>
      <c r="F18" s="606" t="e">
        <f>facility_postalcode</f>
        <v>#REF!</v>
      </c>
      <c r="G18" s="607"/>
      <c r="H18" s="607"/>
      <c r="I18" s="607"/>
      <c r="J18" s="607"/>
      <c r="K18" s="608"/>
    </row>
    <row r="19" spans="1:11" ht="12" customHeight="1">
      <c r="A19" s="647" t="e">
        <f>customer_contact_title</f>
        <v>#REF!</v>
      </c>
      <c r="B19" s="648"/>
      <c r="C19" s="648"/>
      <c r="D19" s="648"/>
      <c r="E19" s="649"/>
      <c r="F19" s="625"/>
      <c r="G19" s="626"/>
      <c r="H19" s="626"/>
      <c r="I19" s="626"/>
      <c r="J19" s="626"/>
      <c r="K19" s="627"/>
    </row>
    <row r="21" spans="1:11" ht="41.25" customHeight="1">
      <c r="A21" s="624" t="s">
        <v>366</v>
      </c>
      <c r="B21" s="624"/>
      <c r="C21" s="624"/>
      <c r="D21" s="624"/>
      <c r="E21" s="624"/>
      <c r="F21" s="624"/>
      <c r="G21" s="624"/>
      <c r="H21" s="624"/>
      <c r="I21" s="624"/>
      <c r="J21" s="624"/>
      <c r="K21" s="624"/>
    </row>
    <row r="22" spans="1:11" ht="6.75" customHeight="1">
      <c r="A22"/>
      <c r="B22"/>
      <c r="C22"/>
    </row>
    <row r="23" spans="1:11">
      <c r="A23" s="593" t="s">
        <v>11</v>
      </c>
      <c r="B23" s="594"/>
      <c r="C23" s="594"/>
      <c r="D23" s="594"/>
      <c r="E23" s="594"/>
      <c r="F23" s="594"/>
      <c r="G23" s="594"/>
      <c r="H23" s="594"/>
      <c r="I23" s="594"/>
      <c r="J23" s="594"/>
      <c r="K23" s="595"/>
    </row>
    <row r="24" spans="1:11" ht="13.5" thickBot="1">
      <c r="A24" s="311"/>
      <c r="B24" s="311"/>
      <c r="C24" s="311"/>
      <c r="D24" s="311"/>
      <c r="E24" s="311"/>
      <c r="F24" s="311"/>
      <c r="G24" s="311"/>
      <c r="H24" s="311"/>
      <c r="I24" s="311"/>
      <c r="J24" s="311"/>
      <c r="K24" s="311"/>
    </row>
    <row r="25" spans="1:11" ht="13.5" thickBot="1">
      <c r="A25" s="639" t="s">
        <v>200</v>
      </c>
      <c r="B25" s="640"/>
      <c r="C25" s="641"/>
      <c r="D25" s="641"/>
      <c r="E25" s="642"/>
      <c r="F25" s="650" t="s">
        <v>127</v>
      </c>
      <c r="G25" s="641"/>
      <c r="H25" s="641"/>
      <c r="I25" s="641"/>
      <c r="J25" s="641"/>
      <c r="K25" s="651"/>
    </row>
    <row r="26" spans="1:11">
      <c r="A26" s="643" t="e">
        <f t="shared" ref="A26:A31" si="0">facility_name</f>
        <v>#REF!</v>
      </c>
      <c r="B26" s="644"/>
      <c r="C26" s="645"/>
      <c r="D26" s="645"/>
      <c r="E26" s="646"/>
      <c r="F26" s="652"/>
      <c r="G26" s="653"/>
      <c r="H26" s="653"/>
      <c r="I26" s="653"/>
      <c r="J26" s="653"/>
      <c r="K26" s="654"/>
    </row>
    <row r="27" spans="1:11">
      <c r="A27" s="615" t="e">
        <f t="shared" si="0"/>
        <v>#REF!</v>
      </c>
      <c r="B27" s="616"/>
      <c r="C27" s="617"/>
      <c r="D27" s="617"/>
      <c r="E27" s="618"/>
      <c r="F27" s="590"/>
      <c r="G27" s="591"/>
      <c r="H27" s="591"/>
      <c r="I27" s="591"/>
      <c r="J27" s="591"/>
      <c r="K27" s="592"/>
    </row>
    <row r="28" spans="1:11">
      <c r="A28" s="615" t="e">
        <f t="shared" si="0"/>
        <v>#REF!</v>
      </c>
      <c r="B28" s="616"/>
      <c r="C28" s="617"/>
      <c r="D28" s="617"/>
      <c r="E28" s="618"/>
      <c r="F28" s="590"/>
      <c r="G28" s="591"/>
      <c r="H28" s="591"/>
      <c r="I28" s="591"/>
      <c r="J28" s="591"/>
      <c r="K28" s="592"/>
    </row>
    <row r="29" spans="1:11">
      <c r="A29" s="615" t="e">
        <f t="shared" si="0"/>
        <v>#REF!</v>
      </c>
      <c r="B29" s="616"/>
      <c r="C29" s="617"/>
      <c r="D29" s="617"/>
      <c r="E29" s="618"/>
      <c r="F29" s="590"/>
      <c r="G29" s="591"/>
      <c r="H29" s="591"/>
      <c r="I29" s="591"/>
      <c r="J29" s="591"/>
      <c r="K29" s="592"/>
    </row>
    <row r="30" spans="1:11">
      <c r="A30" s="615" t="e">
        <f t="shared" si="0"/>
        <v>#REF!</v>
      </c>
      <c r="B30" s="616"/>
      <c r="C30" s="617"/>
      <c r="D30" s="617"/>
      <c r="E30" s="618"/>
      <c r="F30" s="619"/>
      <c r="G30" s="620"/>
      <c r="H30" s="620"/>
      <c r="I30" s="620"/>
      <c r="J30" s="620"/>
      <c r="K30" s="621"/>
    </row>
    <row r="31" spans="1:11" ht="13.5" thickBot="1">
      <c r="A31" s="611" t="e">
        <f t="shared" si="0"/>
        <v>#REF!</v>
      </c>
      <c r="B31" s="612"/>
      <c r="C31" s="613"/>
      <c r="D31" s="613"/>
      <c r="E31" s="614"/>
      <c r="F31" s="599"/>
      <c r="G31" s="600"/>
      <c r="H31" s="600"/>
      <c r="I31" s="600"/>
      <c r="J31" s="600"/>
      <c r="K31" s="601"/>
    </row>
    <row r="32" spans="1:11">
      <c r="A32" s="587" t="s">
        <v>12</v>
      </c>
      <c r="B32" s="587"/>
      <c r="C32" s="587"/>
      <c r="D32" s="587"/>
      <c r="E32" s="587"/>
      <c r="F32" s="587"/>
      <c r="G32" s="587"/>
      <c r="H32" s="587"/>
      <c r="I32" s="587"/>
      <c r="J32" s="587"/>
      <c r="K32" s="587"/>
    </row>
    <row r="33" spans="1:11">
      <c r="A33"/>
      <c r="B33"/>
      <c r="C33"/>
    </row>
    <row r="34" spans="1:11">
      <c r="A34" s="593" t="s">
        <v>13</v>
      </c>
      <c r="B34" s="594"/>
      <c r="C34" s="594"/>
      <c r="D34" s="594"/>
      <c r="E34" s="594"/>
      <c r="F34" s="594"/>
      <c r="G34" s="594"/>
      <c r="H34" s="594"/>
      <c r="I34" s="594"/>
      <c r="J34" s="594"/>
      <c r="K34" s="595"/>
    </row>
    <row r="35" spans="1:11">
      <c r="A35" s="311"/>
      <c r="B35" s="311"/>
      <c r="C35" s="311"/>
      <c r="D35" s="311"/>
      <c r="E35" s="311"/>
      <c r="F35" s="311"/>
      <c r="G35" s="311"/>
      <c r="H35" s="311"/>
      <c r="I35" s="311"/>
      <c r="J35" s="311"/>
      <c r="K35" s="311"/>
    </row>
    <row r="36" spans="1:11" ht="12.75" customHeight="1">
      <c r="A36" s="603" t="s">
        <v>14</v>
      </c>
      <c r="B36" s="604"/>
      <c r="C36" s="604"/>
      <c r="D36" s="604"/>
      <c r="E36" s="604"/>
      <c r="F36" s="604"/>
      <c r="G36" s="604"/>
      <c r="H36" s="605"/>
      <c r="I36" s="667" t="e">
        <f>financing_amount_approved</f>
        <v>#REF!</v>
      </c>
      <c r="J36" s="668"/>
      <c r="K36" s="669"/>
    </row>
    <row r="37" spans="1:11" ht="12.75" customHeight="1">
      <c r="A37" s="603" t="s">
        <v>15</v>
      </c>
      <c r="B37" s="604"/>
      <c r="C37" s="604"/>
      <c r="D37" s="604"/>
      <c r="E37" s="604"/>
      <c r="F37" s="604"/>
      <c r="G37" s="604"/>
      <c r="H37" s="605"/>
      <c r="I37" s="590"/>
      <c r="J37" s="591"/>
      <c r="K37" s="592"/>
    </row>
    <row r="38" spans="1:11" ht="12.75" customHeight="1">
      <c r="A38" s="603" t="s">
        <v>16</v>
      </c>
      <c r="B38" s="604"/>
      <c r="C38" s="604"/>
      <c r="D38" s="604"/>
      <c r="E38" s="604"/>
      <c r="F38" s="604"/>
      <c r="G38" s="604"/>
      <c r="H38" s="605"/>
      <c r="I38" s="660" t="e">
        <f>IF(financing_amount_approved=0,"None", financing_amount_approved/financing_term_approved)</f>
        <v>#REF!</v>
      </c>
      <c r="J38" s="661"/>
      <c r="K38" s="662"/>
    </row>
    <row r="39" spans="1:11" ht="12.75" customHeight="1">
      <c r="A39" s="603" t="s">
        <v>17</v>
      </c>
      <c r="B39" s="604"/>
      <c r="C39" s="604"/>
      <c r="D39" s="604"/>
      <c r="E39" s="604"/>
      <c r="F39" s="604"/>
      <c r="G39" s="604"/>
      <c r="H39" s="605"/>
      <c r="I39" s="584" t="e">
        <f>financing_term_approved&amp;" months"</f>
        <v>#REF!</v>
      </c>
      <c r="J39" s="585"/>
      <c r="K39" s="586"/>
    </row>
    <row r="41" spans="1:11">
      <c r="A41" s="596" t="s">
        <v>18</v>
      </c>
      <c r="B41" s="597"/>
      <c r="C41" s="597"/>
      <c r="D41" s="597"/>
      <c r="E41" s="597"/>
      <c r="F41" s="597"/>
      <c r="G41" s="597"/>
      <c r="H41" s="597"/>
      <c r="I41" s="597"/>
      <c r="J41" s="597"/>
      <c r="K41" s="598"/>
    </row>
    <row r="43" spans="1:11" ht="28.5" customHeight="1">
      <c r="A43" s="602" t="s">
        <v>19</v>
      </c>
      <c r="B43" s="602"/>
      <c r="C43" s="602"/>
      <c r="D43" s="602"/>
      <c r="E43" s="602"/>
      <c r="F43" s="602"/>
      <c r="G43" s="602"/>
      <c r="H43" s="602"/>
      <c r="I43" s="602"/>
      <c r="J43" s="602"/>
      <c r="K43" s="602"/>
    </row>
    <row r="44" spans="1:11">
      <c r="A44"/>
      <c r="B44"/>
      <c r="C44"/>
    </row>
    <row r="45" spans="1:11" ht="12.75" customHeight="1">
      <c r="A45" s="655" t="s">
        <v>218</v>
      </c>
      <c r="B45" s="656"/>
      <c r="C45" s="656"/>
      <c r="D45" s="656"/>
      <c r="E45" s="656"/>
      <c r="F45" s="657" t="s">
        <v>20</v>
      </c>
      <c r="G45" s="658"/>
      <c r="H45" s="658"/>
      <c r="I45" s="658"/>
      <c r="J45" s="658"/>
      <c r="K45" s="659"/>
    </row>
    <row r="46" spans="1:11">
      <c r="A46" s="297"/>
      <c r="B46" s="298"/>
      <c r="C46" s="298"/>
      <c r="D46" s="298"/>
      <c r="E46" s="298"/>
      <c r="F46" s="316"/>
      <c r="G46" s="82"/>
      <c r="H46" s="82"/>
      <c r="I46" s="82"/>
      <c r="J46" s="82"/>
      <c r="K46" s="299"/>
    </row>
    <row r="47" spans="1:11">
      <c r="A47" s="312" t="s">
        <v>219</v>
      </c>
      <c r="B47" s="666"/>
      <c r="C47" s="666"/>
      <c r="D47" s="666"/>
      <c r="E47" s="315"/>
      <c r="F47" s="318" t="s">
        <v>221</v>
      </c>
      <c r="G47" s="588"/>
      <c r="H47" s="588"/>
      <c r="I47" s="588"/>
      <c r="J47" s="588"/>
      <c r="K47" s="245"/>
    </row>
    <row r="48" spans="1:11">
      <c r="A48" s="312"/>
      <c r="B48" s="309"/>
      <c r="C48" s="309"/>
      <c r="D48" s="253"/>
      <c r="E48" s="3"/>
      <c r="F48" s="319"/>
      <c r="G48" s="241"/>
      <c r="H48" s="241"/>
      <c r="I48" s="2" t="s">
        <v>222</v>
      </c>
      <c r="J48" s="2"/>
      <c r="K48" s="254"/>
    </row>
    <row r="49" spans="1:11">
      <c r="A49" s="312" t="s">
        <v>21</v>
      </c>
      <c r="B49" s="589"/>
      <c r="C49" s="589"/>
      <c r="D49" s="589"/>
      <c r="E49" s="3"/>
      <c r="F49" s="319" t="s">
        <v>219</v>
      </c>
      <c r="G49" s="589"/>
      <c r="H49" s="589"/>
      <c r="I49" s="589"/>
      <c r="J49" s="589"/>
      <c r="K49" s="320"/>
    </row>
    <row r="50" spans="1:11">
      <c r="A50" s="312"/>
      <c r="B50" s="241"/>
      <c r="C50" s="241"/>
      <c r="D50" s="3"/>
      <c r="E50" s="3"/>
      <c r="F50" s="319"/>
      <c r="G50" s="241"/>
      <c r="H50" s="241"/>
      <c r="I50" s="3"/>
      <c r="J50" s="3"/>
      <c r="K50" s="254"/>
    </row>
    <row r="51" spans="1:11">
      <c r="A51" s="312" t="s">
        <v>27</v>
      </c>
      <c r="B51" s="589"/>
      <c r="C51" s="589"/>
      <c r="D51" s="589"/>
      <c r="E51" s="3"/>
      <c r="F51" s="319" t="s">
        <v>220</v>
      </c>
      <c r="G51" s="589"/>
      <c r="H51" s="589"/>
      <c r="I51" s="589"/>
      <c r="J51" s="589"/>
      <c r="K51" s="320"/>
    </row>
    <row r="52" spans="1:11">
      <c r="A52" s="242"/>
      <c r="B52" s="241"/>
      <c r="C52" s="241"/>
      <c r="D52" s="3"/>
      <c r="E52" s="3"/>
      <c r="F52" s="319"/>
      <c r="G52" s="241"/>
      <c r="H52" s="241"/>
      <c r="I52" s="3"/>
      <c r="J52" s="3"/>
      <c r="K52" s="254"/>
    </row>
    <row r="53" spans="1:11">
      <c r="A53" s="609"/>
      <c r="B53" s="610"/>
      <c r="C53" s="241"/>
      <c r="D53" s="3"/>
      <c r="E53" s="3"/>
      <c r="F53" s="319" t="s">
        <v>163</v>
      </c>
      <c r="G53" s="589"/>
      <c r="H53" s="589"/>
      <c r="I53" s="589"/>
      <c r="J53" s="589"/>
      <c r="K53" s="320"/>
    </row>
    <row r="54" spans="1:11">
      <c r="A54" s="243"/>
      <c r="B54" s="244"/>
      <c r="C54" s="244"/>
      <c r="D54" s="249"/>
      <c r="E54" s="249"/>
      <c r="F54" s="317"/>
      <c r="G54" s="244"/>
      <c r="H54" s="244"/>
      <c r="I54" s="249"/>
      <c r="J54" s="249"/>
      <c r="K54" s="255"/>
    </row>
    <row r="55" spans="1:11">
      <c r="A55" s="241"/>
      <c r="B55" s="241"/>
      <c r="C55" s="241"/>
      <c r="D55" s="3"/>
      <c r="E55" s="3"/>
      <c r="F55" s="241"/>
      <c r="G55" s="241"/>
      <c r="H55" s="241"/>
      <c r="I55" s="3"/>
      <c r="J55" s="3"/>
      <c r="K55" s="3"/>
    </row>
    <row r="56" spans="1:11" ht="28.5" customHeight="1">
      <c r="A56" s="602" t="s">
        <v>22</v>
      </c>
      <c r="B56" s="602"/>
      <c r="C56" s="602"/>
      <c r="D56" s="602"/>
      <c r="E56" s="602"/>
      <c r="F56" s="602"/>
      <c r="G56" s="602"/>
      <c r="H56" s="602"/>
      <c r="I56" s="602"/>
      <c r="J56" s="602"/>
      <c r="K56" s="602"/>
    </row>
  </sheetData>
  <mergeCells count="60">
    <mergeCell ref="F13:K13"/>
    <mergeCell ref="F15:K15"/>
    <mergeCell ref="F17:K17"/>
    <mergeCell ref="B47:D47"/>
    <mergeCell ref="I37:K37"/>
    <mergeCell ref="I36:K36"/>
    <mergeCell ref="A13:E13"/>
    <mergeCell ref="A15:E15"/>
    <mergeCell ref="A14:E14"/>
    <mergeCell ref="A16:E16"/>
    <mergeCell ref="A26:E26"/>
    <mergeCell ref="B49:D49"/>
    <mergeCell ref="B51:D51"/>
    <mergeCell ref="A19:E19"/>
    <mergeCell ref="F25:K25"/>
    <mergeCell ref="F26:K26"/>
    <mergeCell ref="A30:E30"/>
    <mergeCell ref="A45:E45"/>
    <mergeCell ref="F45:K45"/>
    <mergeCell ref="I38:K38"/>
    <mergeCell ref="A10:E10"/>
    <mergeCell ref="A36:H36"/>
    <mergeCell ref="A37:H37"/>
    <mergeCell ref="A38:H38"/>
    <mergeCell ref="F16:K16"/>
    <mergeCell ref="F14:K14"/>
    <mergeCell ref="F18:K18"/>
    <mergeCell ref="A28:E28"/>
    <mergeCell ref="A29:E29"/>
    <mergeCell ref="A25:E25"/>
    <mergeCell ref="F30:K30"/>
    <mergeCell ref="A17:E17"/>
    <mergeCell ref="A21:K21"/>
    <mergeCell ref="F19:K19"/>
    <mergeCell ref="A6:K6"/>
    <mergeCell ref="A8:K8"/>
    <mergeCell ref="F10:K10"/>
    <mergeCell ref="F12:K12"/>
    <mergeCell ref="A12:E12"/>
    <mergeCell ref="A11:E11"/>
    <mergeCell ref="A39:H39"/>
    <mergeCell ref="F11:K11"/>
    <mergeCell ref="A56:K56"/>
    <mergeCell ref="A23:K23"/>
    <mergeCell ref="A53:B53"/>
    <mergeCell ref="A31:E31"/>
    <mergeCell ref="G53:J53"/>
    <mergeCell ref="A27:E27"/>
    <mergeCell ref="F28:K28"/>
    <mergeCell ref="F29:K29"/>
    <mergeCell ref="I39:K39"/>
    <mergeCell ref="A32:K32"/>
    <mergeCell ref="G47:J47"/>
    <mergeCell ref="G49:J49"/>
    <mergeCell ref="G51:J51"/>
    <mergeCell ref="F27:K27"/>
    <mergeCell ref="A34:K34"/>
    <mergeCell ref="A41:K41"/>
    <mergeCell ref="F31:K31"/>
    <mergeCell ref="A43:K43"/>
  </mergeCells>
  <phoneticPr fontId="30" type="noConversion"/>
  <printOptions horizontalCentered="1" verticalCentered="1"/>
  <pageMargins left="0.2" right="0.2" top="0.25" bottom="0.38" header="0.25" footer="0.32"/>
  <pageSetup scale="97" fitToHeight="2" orientation="portrait" errors="blank" r:id="rId1"/>
  <headerFooter alignWithMargins="0">
    <oddFooter>&amp;CPage &amp;P of &amp;N&amp;R&amp;D</oddFooter>
  </headerFooter>
  <rowBreaks count="1" manualBreakCount="1">
    <brk id="56" max="11" man="1"/>
  </rowBreaks>
  <drawing r:id="rId2"/>
  <legacyDrawing r:id="rId3"/>
  <oleObjects>
    <mc:AlternateContent xmlns:mc="http://schemas.openxmlformats.org/markup-compatibility/2006">
      <mc:Choice Requires="x14">
        <oleObject progId="Word.Document.8" shapeId="267265" r:id="rId4">
          <objectPr defaultSize="0" r:id="rId5">
            <anchor moveWithCells="1">
              <from>
                <xdr:col>0</xdr:col>
                <xdr:colOff>95250</xdr:colOff>
                <xdr:row>56</xdr:row>
                <xdr:rowOff>47625</xdr:rowOff>
              </from>
              <to>
                <xdr:col>10</xdr:col>
                <xdr:colOff>276225</xdr:colOff>
                <xdr:row>113</xdr:row>
                <xdr:rowOff>123825</xdr:rowOff>
              </to>
            </anchor>
          </objectPr>
        </oleObject>
      </mc:Choice>
      <mc:Fallback>
        <oleObject progId="Word.Document.8" shapeId="26726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indexed="10"/>
  </sheetPr>
  <dimension ref="A2:D32"/>
  <sheetViews>
    <sheetView workbookViewId="0">
      <selection activeCell="C18" sqref="C18"/>
    </sheetView>
  </sheetViews>
  <sheetFormatPr defaultRowHeight="12.75"/>
  <cols>
    <col min="1" max="1" width="18.42578125" bestFit="1" customWidth="1"/>
    <col min="2" max="2" width="95.42578125" style="240" bestFit="1" customWidth="1"/>
    <col min="3" max="3" width="29.85546875" bestFit="1" customWidth="1"/>
    <col min="4" max="4" width="17.42578125" bestFit="1" customWidth="1"/>
  </cols>
  <sheetData>
    <row r="2" spans="1:4">
      <c r="A2" s="4" t="s">
        <v>208</v>
      </c>
    </row>
    <row r="3" spans="1:4" ht="13.5" thickBot="1"/>
    <row r="4" spans="1:4">
      <c r="A4" s="339"/>
      <c r="B4" s="374"/>
      <c r="C4" s="340"/>
      <c r="D4" s="341"/>
    </row>
    <row r="5" spans="1:4">
      <c r="A5" s="342" t="s">
        <v>209</v>
      </c>
      <c r="B5" s="375" t="s">
        <v>210</v>
      </c>
      <c r="C5" s="343" t="s">
        <v>166</v>
      </c>
      <c r="D5" s="344" t="s">
        <v>27</v>
      </c>
    </row>
    <row r="6" spans="1:4">
      <c r="A6" s="345"/>
      <c r="B6" s="376"/>
      <c r="C6" s="346"/>
      <c r="D6" s="347"/>
    </row>
    <row r="7" spans="1:4">
      <c r="A7" s="355" t="s">
        <v>255</v>
      </c>
      <c r="B7" s="377" t="s">
        <v>266</v>
      </c>
      <c r="C7" s="306" t="s">
        <v>258</v>
      </c>
      <c r="D7" s="417">
        <v>41334</v>
      </c>
    </row>
    <row r="8" spans="1:4">
      <c r="A8" s="355" t="s">
        <v>286</v>
      </c>
      <c r="B8" s="377" t="s">
        <v>267</v>
      </c>
      <c r="C8" s="306" t="s">
        <v>240</v>
      </c>
      <c r="D8" s="417">
        <v>41456</v>
      </c>
    </row>
    <row r="9" spans="1:4">
      <c r="A9" s="355" t="s">
        <v>287</v>
      </c>
      <c r="B9" s="377" t="s">
        <v>278</v>
      </c>
      <c r="C9" s="306" t="s">
        <v>240</v>
      </c>
      <c r="D9" s="417">
        <v>41568</v>
      </c>
    </row>
    <row r="10" spans="1:4">
      <c r="A10" s="355" t="s">
        <v>288</v>
      </c>
      <c r="B10" s="377" t="s">
        <v>284</v>
      </c>
      <c r="C10" s="306" t="s">
        <v>285</v>
      </c>
      <c r="D10" s="417">
        <v>41611</v>
      </c>
    </row>
    <row r="11" spans="1:4">
      <c r="A11" s="355" t="s">
        <v>297</v>
      </c>
      <c r="B11" s="377" t="s">
        <v>298</v>
      </c>
      <c r="C11" s="306" t="s">
        <v>285</v>
      </c>
      <c r="D11" s="417">
        <v>41625</v>
      </c>
    </row>
    <row r="12" spans="1:4" ht="25.5">
      <c r="A12" s="355" t="s">
        <v>302</v>
      </c>
      <c r="B12" s="377" t="s">
        <v>301</v>
      </c>
      <c r="C12" s="306" t="s">
        <v>240</v>
      </c>
      <c r="D12" s="417">
        <v>41843</v>
      </c>
    </row>
    <row r="13" spans="1:4">
      <c r="A13" s="324" t="s">
        <v>322</v>
      </c>
      <c r="B13" s="377" t="s">
        <v>321</v>
      </c>
      <c r="C13" s="306" t="s">
        <v>240</v>
      </c>
      <c r="D13" s="417">
        <v>41880</v>
      </c>
    </row>
    <row r="14" spans="1:4">
      <c r="A14" s="415" t="s">
        <v>364</v>
      </c>
      <c r="B14" s="378" t="s">
        <v>365</v>
      </c>
      <c r="C14" s="322" t="s">
        <v>240</v>
      </c>
      <c r="D14" s="417">
        <v>41940</v>
      </c>
    </row>
    <row r="15" spans="1:4">
      <c r="A15" s="415" t="s">
        <v>368</v>
      </c>
      <c r="B15" s="378" t="s">
        <v>369</v>
      </c>
      <c r="C15" s="322" t="s">
        <v>367</v>
      </c>
      <c r="D15" s="418">
        <v>42342</v>
      </c>
    </row>
    <row r="16" spans="1:4">
      <c r="A16" s="415" t="s">
        <v>372</v>
      </c>
      <c r="B16" s="378" t="s">
        <v>371</v>
      </c>
      <c r="C16" s="322" t="s">
        <v>246</v>
      </c>
      <c r="D16" s="419">
        <v>42373</v>
      </c>
    </row>
    <row r="17" spans="1:4">
      <c r="A17" s="327" t="s">
        <v>385</v>
      </c>
      <c r="B17" s="379" t="s">
        <v>386</v>
      </c>
      <c r="C17" s="328" t="s">
        <v>246</v>
      </c>
      <c r="D17" s="420">
        <v>42485</v>
      </c>
    </row>
    <row r="18" spans="1:4">
      <c r="A18" s="327"/>
      <c r="B18" s="379"/>
      <c r="C18" s="328"/>
      <c r="D18" s="420"/>
    </row>
    <row r="19" spans="1:4">
      <c r="A19" s="331"/>
      <c r="B19" s="379"/>
      <c r="C19" s="328"/>
      <c r="D19" s="420"/>
    </row>
    <row r="20" spans="1:4">
      <c r="A20" s="331"/>
      <c r="B20" s="379"/>
      <c r="C20" s="328"/>
      <c r="D20" s="420"/>
    </row>
    <row r="21" spans="1:4">
      <c r="A21" s="325"/>
      <c r="B21" s="378"/>
      <c r="C21" s="322"/>
      <c r="D21" s="419"/>
    </row>
    <row r="22" spans="1:4">
      <c r="A22" s="335"/>
      <c r="B22" s="380"/>
      <c r="C22" s="336"/>
      <c r="D22" s="421"/>
    </row>
    <row r="23" spans="1:4">
      <c r="A23" s="325"/>
      <c r="B23" s="378"/>
      <c r="C23" s="322"/>
      <c r="D23" s="419"/>
    </row>
    <row r="24" spans="1:4">
      <c r="A24" s="327"/>
      <c r="B24" s="379"/>
      <c r="C24" s="328"/>
      <c r="D24" s="420"/>
    </row>
    <row r="25" spans="1:4">
      <c r="A25" s="327"/>
      <c r="B25" s="379"/>
      <c r="C25" s="328"/>
      <c r="D25" s="420"/>
    </row>
    <row r="26" spans="1:4">
      <c r="A26" s="325"/>
      <c r="B26" s="378"/>
      <c r="C26" s="322"/>
      <c r="D26" s="419"/>
    </row>
    <row r="27" spans="1:4" ht="13.5" thickBot="1">
      <c r="A27" s="337"/>
      <c r="B27" s="381"/>
      <c r="C27" s="338"/>
      <c r="D27" s="422"/>
    </row>
    <row r="29" spans="1:4">
      <c r="A29" s="1" t="s">
        <v>282</v>
      </c>
      <c r="B29" s="240" t="str">
        <f>"Project Development Agreement " &amp; version</f>
        <v>Project Development Agreement 2016.2.1</v>
      </c>
    </row>
    <row r="30" spans="1:4">
      <c r="A30" s="1" t="s">
        <v>283</v>
      </c>
      <c r="B30" s="240" t="str">
        <f>INDEX($A$7:$A$27,COUNTA($A$7:$A$27),1)</f>
        <v>2016.2.1</v>
      </c>
    </row>
    <row r="31" spans="1:4">
      <c r="A31" s="1" t="s">
        <v>373</v>
      </c>
      <c r="B31" s="423">
        <f>INDEX($D$7:$D$27,COUNTA($A$7:$A$27),1)</f>
        <v>42485</v>
      </c>
    </row>
    <row r="32" spans="1:4">
      <c r="A32" t="s">
        <v>370</v>
      </c>
      <c r="B32" s="416" t="str">
        <f>RIGHT(B30, 3)</f>
        <v>2.1</v>
      </c>
    </row>
  </sheetData>
  <phoneticPr fontId="3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D1A7501F149A4ABB1E95135D596D08" ma:contentTypeVersion="3" ma:contentTypeDescription="Create a new document." ma:contentTypeScope="" ma:versionID="35392a198687a8b1374561c5e268092e">
  <xsd:schema xmlns:xsd="http://www.w3.org/2001/XMLSchema" xmlns:xs="http://www.w3.org/2001/XMLSchema" xmlns:p="http://schemas.microsoft.com/office/2006/metadata/properties" xmlns:ns2="a7ab817b-4faa-45d5-80bc-22d50aff3ce5" xmlns:ns3="6378ea15-f52a-4c6a-bb86-882fa379f79b" xmlns:ns4="http://schemas.microsoft.com/sharepoint/v4" targetNamespace="http://schemas.microsoft.com/office/2006/metadata/properties" ma:root="true" ma:fieldsID="4ebe3eb03c4d0b48ffd75a6e5b626b7c" ns2:_="" ns3:_="" ns4:_="">
    <xsd:import namespace="a7ab817b-4faa-45d5-80bc-22d50aff3ce5"/>
    <xsd:import namespace="6378ea15-f52a-4c6a-bb86-882fa379f79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Program_x002f_Service"/>
                <xsd:element ref="ns3:Document_x0020_Author"/>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b817b-4faa-45d5-80bc-22d50aff3c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378ea15-f52a-4c6a-bb86-882fa379f79b" elementFormDefault="qualified">
    <xsd:import namespace="http://schemas.microsoft.com/office/2006/documentManagement/types"/>
    <xsd:import namespace="http://schemas.microsoft.com/office/infopath/2007/PartnerControls"/>
    <xsd:element name="Program_x002f_Service" ma:index="11" ma:displayName="Program/Service" ma:default="Various" ma:format="RadioButtons" ma:internalName="Program_x002f_Service">
      <xsd:simpleType>
        <xsd:restriction base="dms:Choice">
          <xsd:enumeration value="BER"/>
          <xsd:enumeration value="BES"/>
          <xsd:enumeration value="Custom"/>
          <xsd:enumeration value="Key Account"/>
          <xsd:enumeration value="Marketing"/>
          <xsd:enumeration value="MURBs"/>
          <xsd:enumeration value="New Construction"/>
          <xsd:enumeration value="Various"/>
        </xsd:restriction>
      </xsd:simpleType>
    </xsd:element>
    <xsd:element name="Document_x0020_Author" ma:index="12" ma:displayName="Document Type" ma:default="Misc." ma:format="RadioButtons" ma:internalName="Document_x0020_Author">
      <xsd:simpleType>
        <xsd:restriction base="dms:Choice">
          <xsd:enumeration value="Agreements"/>
          <xsd:enumeration value="DSM Plan"/>
          <xsd:enumeration value="Evaluation Plan"/>
          <xsd:enumeration value="Evaluation Report"/>
          <xsd:enumeration value="Forms"/>
          <xsd:enumeration value="Internal Controls"/>
          <xsd:enumeration value="Manual"/>
          <xsd:enumeration value="Misc."/>
          <xsd:enumeration value="RFPs"/>
          <xsd:enumeration value="Verification Repor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Document_x0020_Author xmlns="6378ea15-f52a-4c6a-bb86-882fa379f79b">Agreements</Document_x0020_Author>
    <IconOverlay xmlns="http://schemas.microsoft.com/sharepoint/v4" xsi:nil="true"/>
    <Program_x002f_Service xmlns="6378ea15-f52a-4c6a-bb86-882fa379f79b">Custom</Program_x002f_Service>
  </documentManagement>
</p:properties>
</file>

<file path=customXml/itemProps1.xml><?xml version="1.0" encoding="utf-8"?>
<ds:datastoreItem xmlns:ds="http://schemas.openxmlformats.org/officeDocument/2006/customXml" ds:itemID="{2D7C5319-605F-42E2-A3E5-35DDA368A49A}">
  <ds:schemaRefs>
    <ds:schemaRef ds:uri="http://schemas.microsoft.com/office/2006/metadata/longProperties"/>
  </ds:schemaRefs>
</ds:datastoreItem>
</file>

<file path=customXml/itemProps2.xml><?xml version="1.0" encoding="utf-8"?>
<ds:datastoreItem xmlns:ds="http://schemas.openxmlformats.org/officeDocument/2006/customXml" ds:itemID="{E0C73F43-FB92-4055-9874-F76F28153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b817b-4faa-45d5-80bc-22d50aff3ce5"/>
    <ds:schemaRef ds:uri="6378ea15-f52a-4c6a-bb86-882fa379f79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7F0A55-D527-41AD-94FF-061785AD5192}">
  <ds:schemaRefs>
    <ds:schemaRef ds:uri="http://schemas.microsoft.com/sharepoint/v3/contenttype/forms"/>
  </ds:schemaRefs>
</ds:datastoreItem>
</file>

<file path=customXml/itemProps4.xml><?xml version="1.0" encoding="utf-8"?>
<ds:datastoreItem xmlns:ds="http://schemas.openxmlformats.org/officeDocument/2006/customXml" ds:itemID="{81B32AFD-C46E-4080-AAD7-419648249A7F}">
  <ds:schemaRefs>
    <ds:schemaRef ds:uri="http://schemas.microsoft.com/sharepoint/events"/>
  </ds:schemaRefs>
</ds:datastoreItem>
</file>

<file path=customXml/itemProps5.xml><?xml version="1.0" encoding="utf-8"?>
<ds:datastoreItem xmlns:ds="http://schemas.openxmlformats.org/officeDocument/2006/customXml" ds:itemID="{49F8178D-5880-40B9-A8EB-A3E5E9F44FE3}">
  <ds:schemaRefs>
    <ds:schemaRef ds:uri="http://schemas.microsoft.com/sharepoint/v4"/>
    <ds:schemaRef ds:uri="http://purl.org/dc/terms/"/>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6378ea15-f52a-4c6a-bb86-882fa379f79b"/>
    <ds:schemaRef ds:uri="a7ab817b-4faa-45d5-80bc-22d50aff3c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58</vt:i4>
      </vt:variant>
    </vt:vector>
  </HeadingPairs>
  <TitlesOfParts>
    <vt:vector size="65" baseType="lpstr">
      <vt:lpstr>Avoided Cost Data</vt:lpstr>
      <vt:lpstr>Avoided Energy &amp; Capacity Costs</vt:lpstr>
      <vt:lpstr>Data Summary</vt:lpstr>
      <vt:lpstr>NPV</vt:lpstr>
      <vt:lpstr>Master List of Findings</vt:lpstr>
      <vt:lpstr>Form 5</vt:lpstr>
      <vt:lpstr>Rev Log</vt:lpstr>
      <vt:lpstr>admin_cost_pkw</vt:lpstr>
      <vt:lpstr>ann_ecost_savings</vt:lpstr>
      <vt:lpstr>ann_nonecost_savings</vt:lpstr>
      <vt:lpstr>ann_totcost_savings</vt:lpstr>
      <vt:lpstr>budget</vt:lpstr>
      <vt:lpstr>csys_CPD_sav_kw</vt:lpstr>
      <vt:lpstr>current_yr</vt:lpstr>
      <vt:lpstr>cust_NCPD_sav_kw</vt:lpstr>
      <vt:lpstr>cust_sav_kwh</vt:lpstr>
      <vt:lpstr>custom_track_list</vt:lpstr>
      <vt:lpstr>customer_name</vt:lpstr>
      <vt:lpstr>DB_proj_ID</vt:lpstr>
      <vt:lpstr>DB_proj_owner</vt:lpstr>
      <vt:lpstr>disc_rate_cap</vt:lpstr>
      <vt:lpstr>disc_rate_ene</vt:lpstr>
      <vt:lpstr>DSMDS_new_measure_categories</vt:lpstr>
      <vt:lpstr>DSMDS_old_measures</vt:lpstr>
      <vt:lpstr>financing_rate</vt:lpstr>
      <vt:lpstr>hst</vt:lpstr>
      <vt:lpstr>incentive_budget</vt:lpstr>
      <vt:lpstr>incentive_budget_ratio</vt:lpstr>
      <vt:lpstr>include_hst</vt:lpstr>
      <vt:lpstr>infl_rate</vt:lpstr>
      <vt:lpstr>install_mo</vt:lpstr>
      <vt:lpstr>install_yr</vt:lpstr>
      <vt:lpstr>install_yrs</vt:lpstr>
      <vt:lpstr>life_sav_mwh</vt:lpstr>
      <vt:lpstr>measure_life_yrs</vt:lpstr>
      <vt:lpstr>NPV</vt:lpstr>
      <vt:lpstr>NSPI_acct_number</vt:lpstr>
      <vt:lpstr>NSPI_imp_incentive</vt:lpstr>
      <vt:lpstr>payb_w_incent</vt:lpstr>
      <vt:lpstr>payb_wo_incent</vt:lpstr>
      <vt:lpstr>pct_mv_cost</vt:lpstr>
      <vt:lpstr>PDA</vt:lpstr>
      <vt:lpstr>pm_name</vt:lpstr>
      <vt:lpstr>prep_by</vt:lpstr>
      <vt:lpstr>prep_date</vt:lpstr>
      <vt:lpstr>present_values</vt:lpstr>
      <vt:lpstr>'Avoided Cost Data'!Print_Area</vt:lpstr>
      <vt:lpstr>'Data Summary'!Print_Area</vt:lpstr>
      <vt:lpstr>'Form 5'!Print_Area</vt:lpstr>
      <vt:lpstr>'Master List of Findings'!Print_Area</vt:lpstr>
      <vt:lpstr>proj_mgr_info</vt:lpstr>
      <vt:lpstr>proj_mgr_name</vt:lpstr>
      <vt:lpstr>project_cost</vt:lpstr>
      <vt:lpstr>project_name</vt:lpstr>
      <vt:lpstr>project_num</vt:lpstr>
      <vt:lpstr>sys_CPD_sav_kw</vt:lpstr>
      <vt:lpstr>sys_sav_kwh</vt:lpstr>
      <vt:lpstr>target_kw</vt:lpstr>
      <vt:lpstr>target_kwh</vt:lpstr>
      <vt:lpstr>tot_npvb</vt:lpstr>
      <vt:lpstr>trc</vt:lpstr>
      <vt:lpstr>version</vt:lpstr>
      <vt:lpstr>workflow_names</vt:lpstr>
      <vt:lpstr>workflow_table</vt:lpstr>
      <vt:lpstr>yr_end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Natche</dc:creator>
  <cp:lastModifiedBy>Avery Kartes</cp:lastModifiedBy>
  <cp:lastPrinted>2016-12-05T17:54:40Z</cp:lastPrinted>
  <dcterms:created xsi:type="dcterms:W3CDTF">2008-05-20T23:18:10Z</dcterms:created>
  <dcterms:modified xsi:type="dcterms:W3CDTF">2017-01-13T19:03:34Z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_dlc_DocId">
    <vt:lpwstr>RT4TSYFRP5F3-93-593</vt:lpwstr>
  </property>
  <property fmtid="{D5CDD505-2E9C-101B-9397-08002B2CF9AE}" pid="4" name="_dlc_DocIdItemGuid">
    <vt:lpwstr>3d2260f2-bad0-433b-8a16-91ab746f14a9</vt:lpwstr>
  </property>
  <property fmtid="{D5CDD505-2E9C-101B-9397-08002B2CF9AE}" pid="5" name="_dlc_DocIdUrl">
    <vt:lpwstr>https://collaboration.efficiencyns.ca/Services/_layouts/DocIdRedir.aspx?ID=RT4TSYFRP5F3-93-593, RT4TSYFRP5F3-93-593</vt:lpwstr>
  </property>
</Properties>
</file>